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715" windowHeight="8700" activeTab="3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C">'Arkusz1'!$D$4</definedName>
    <definedName name="IPES">'Arkusz1'!$C$4</definedName>
    <definedName name="rodzaj">'Arkusz1'!$B$4</definedName>
  </definedNames>
  <calcPr fullCalcOnLoad="1"/>
</workbook>
</file>

<file path=xl/sharedStrings.xml><?xml version="1.0" encoding="utf-8"?>
<sst xmlns="http://schemas.openxmlformats.org/spreadsheetml/2006/main" count="192" uniqueCount="42">
  <si>
    <t>dane:</t>
  </si>
  <si>
    <t>C</t>
  </si>
  <si>
    <t>dwuteownik:</t>
  </si>
  <si>
    <t>A</t>
  </si>
  <si>
    <t>ceownik</t>
  </si>
  <si>
    <t>M [kNm]</t>
  </si>
  <si>
    <t>b [mm]</t>
  </si>
  <si>
    <t>h [mm]</t>
  </si>
  <si>
    <t>śr [mm]</t>
  </si>
  <si>
    <t>p [mm]</t>
  </si>
  <si>
    <t>A [cm2]</t>
  </si>
  <si>
    <t>I_y [cm4]</t>
  </si>
  <si>
    <t>I_z [cm4]</t>
  </si>
  <si>
    <t>e [cm]</t>
  </si>
  <si>
    <t>obliczenia</t>
  </si>
  <si>
    <t>pole przekroju</t>
  </si>
  <si>
    <t>środek ciężkości</t>
  </si>
  <si>
    <t>momenty centralne</t>
  </si>
  <si>
    <t>momenty gł.centr.</t>
  </si>
  <si>
    <t>kąt obrotu</t>
  </si>
  <si>
    <t>charakterystyki geometryczne przekroju</t>
  </si>
  <si>
    <t>naprężenia</t>
  </si>
  <si>
    <t>M_y</t>
  </si>
  <si>
    <t>M_z</t>
  </si>
  <si>
    <t>momenty zginające</t>
  </si>
  <si>
    <t>transformacja współrzędnych punktów</t>
  </si>
  <si>
    <t>rad</t>
  </si>
  <si>
    <t>stopni</t>
  </si>
  <si>
    <t>B</t>
  </si>
  <si>
    <t>D</t>
  </si>
  <si>
    <t>E</t>
  </si>
  <si>
    <t>cosinus</t>
  </si>
  <si>
    <t>sinus</t>
  </si>
  <si>
    <t>Zginanie ukośne - a)</t>
  </si>
  <si>
    <t>Zginanie ukośne - b)</t>
  </si>
  <si>
    <t>Zginanie ukośne - c)</t>
  </si>
  <si>
    <t>Zginanie ukośne - d)</t>
  </si>
  <si>
    <t>F</t>
  </si>
  <si>
    <t>równanie osi obojętnej</t>
  </si>
  <si>
    <t>z =</t>
  </si>
  <si>
    <t>*y</t>
  </si>
  <si>
    <t>z=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</si>
</sst>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">
    <font>
      <sz val="10"/>
      <name val="Times New Roman"/>
      <family val="0"/>
    </font>
    <font>
      <sz val="20"/>
      <name val="Times New Roman"/>
      <family val="0"/>
    </font>
    <font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11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1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2" fontId="0" fillId="3" borderId="0" xfId="0" applyNumberForma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2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33"/>
  <sheetViews>
    <sheetView workbookViewId="0" topLeftCell="A1">
      <selection activeCell="E31" sqref="E31"/>
    </sheetView>
  </sheetViews>
  <sheetFormatPr defaultColWidth="9.33203125" defaultRowHeight="12.75"/>
  <cols>
    <col min="2" max="2" width="9" style="0" bestFit="1" customWidth="1"/>
    <col min="4" max="5" width="8.5" style="0" bestFit="1" customWidth="1"/>
    <col min="6" max="6" width="9.5" style="0" bestFit="1" customWidth="1"/>
    <col min="7" max="7" width="9.16015625" style="0" bestFit="1" customWidth="1"/>
    <col min="8" max="8" width="8.5" style="0" bestFit="1" customWidth="1"/>
    <col min="9" max="9" width="7.16015625" style="0" bestFit="1" customWidth="1"/>
    <col min="10" max="10" width="7.33203125" style="0" bestFit="1" customWidth="1"/>
    <col min="11" max="11" width="8.5" style="0" bestFit="1" customWidth="1"/>
    <col min="12" max="12" width="9.5" style="0" bestFit="1" customWidth="1"/>
    <col min="13" max="13" width="9.16015625" style="0" bestFit="1" customWidth="1"/>
  </cols>
  <sheetData>
    <row r="1" ht="26.25">
      <c r="A1" s="1" t="s">
        <v>33</v>
      </c>
    </row>
    <row r="2" ht="12.75">
      <c r="A2" t="s">
        <v>0</v>
      </c>
    </row>
    <row r="3" spans="1:4" ht="12.75">
      <c r="A3" t="s">
        <v>5</v>
      </c>
      <c r="B3" s="4"/>
      <c r="C3" s="4"/>
      <c r="D3" s="4"/>
    </row>
    <row r="4" spans="1:4" ht="13.5" thickBot="1">
      <c r="A4" s="2">
        <v>12</v>
      </c>
      <c r="B4" s="4"/>
      <c r="C4" s="4"/>
      <c r="D4" s="4"/>
    </row>
    <row r="5" spans="1:13" ht="12.75">
      <c r="A5" s="5" t="s">
        <v>2</v>
      </c>
      <c r="B5" s="6"/>
      <c r="C5" s="6"/>
      <c r="D5" s="6"/>
      <c r="E5" s="6"/>
      <c r="F5" s="6"/>
      <c r="G5" s="7"/>
      <c r="H5" s="5" t="s">
        <v>4</v>
      </c>
      <c r="I5" s="6"/>
      <c r="J5" s="6"/>
      <c r="K5" s="6"/>
      <c r="L5" s="6"/>
      <c r="M5" s="7"/>
    </row>
    <row r="6" spans="1:13" ht="12.75">
      <c r="A6" s="8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10" t="s">
        <v>12</v>
      </c>
      <c r="H6" s="8" t="s">
        <v>6</v>
      </c>
      <c r="I6" s="9" t="s">
        <v>7</v>
      </c>
      <c r="J6" s="9" t="s">
        <v>13</v>
      </c>
      <c r="K6" s="9" t="s">
        <v>10</v>
      </c>
      <c r="L6" s="9" t="s">
        <v>11</v>
      </c>
      <c r="M6" s="10" t="s">
        <v>12</v>
      </c>
    </row>
    <row r="7" spans="1:13" ht="13.5" thickBot="1">
      <c r="A7" s="11">
        <v>160</v>
      </c>
      <c r="B7" s="12">
        <v>330</v>
      </c>
      <c r="C7" s="12">
        <v>6</v>
      </c>
      <c r="D7" s="12">
        <v>12</v>
      </c>
      <c r="E7" s="12">
        <v>56.8</v>
      </c>
      <c r="F7" s="12">
        <v>11145</v>
      </c>
      <c r="G7" s="13">
        <v>820</v>
      </c>
      <c r="H7" s="11">
        <v>100</v>
      </c>
      <c r="I7" s="12">
        <v>300</v>
      </c>
      <c r="J7" s="12">
        <v>2.7</v>
      </c>
      <c r="K7" s="12">
        <v>58.8</v>
      </c>
      <c r="L7" s="12">
        <v>8030</v>
      </c>
      <c r="M7" s="13">
        <v>495</v>
      </c>
    </row>
    <row r="8" spans="1:13" ht="12.75">
      <c r="A8">
        <f>A7/1000</f>
        <v>0.16</v>
      </c>
      <c r="B8">
        <f>B7/1000</f>
        <v>0.33</v>
      </c>
      <c r="C8">
        <f>C7/1000</f>
        <v>0.006</v>
      </c>
      <c r="D8">
        <f>D7/1000</f>
        <v>0.012</v>
      </c>
      <c r="E8" s="3">
        <f>E7/10000</f>
        <v>0.005679999999999999</v>
      </c>
      <c r="F8" s="3">
        <f>F7/100000000</f>
        <v>0.00011145</v>
      </c>
      <c r="G8" s="3">
        <f>G7/100000000</f>
        <v>8.2E-06</v>
      </c>
      <c r="H8">
        <f>H7/1000</f>
        <v>0.1</v>
      </c>
      <c r="I8">
        <f>I7/1000</f>
        <v>0.3</v>
      </c>
      <c r="J8">
        <f>J7/100</f>
        <v>0.027000000000000003</v>
      </c>
      <c r="K8" s="3">
        <f>K7/10000</f>
        <v>0.00588</v>
      </c>
      <c r="L8" s="3">
        <f>L7/100000000</f>
        <v>8.03E-05</v>
      </c>
      <c r="M8" s="3">
        <f>M7/100000000</f>
        <v>4.95E-06</v>
      </c>
    </row>
    <row r="10" ht="12.75">
      <c r="A10" t="s">
        <v>14</v>
      </c>
    </row>
    <row r="11" ht="12.75">
      <c r="A11" t="s">
        <v>20</v>
      </c>
    </row>
    <row r="12" spans="1:10" ht="12.75">
      <c r="A12" t="s">
        <v>15</v>
      </c>
      <c r="C12" s="14">
        <f>E8+K8</f>
        <v>0.011559999999999999</v>
      </c>
      <c r="D12" s="15"/>
      <c r="E12" s="15"/>
      <c r="F12" s="15"/>
      <c r="G12" s="15"/>
      <c r="H12" s="15"/>
      <c r="I12" s="15"/>
      <c r="J12" s="15"/>
    </row>
    <row r="13" spans="1:10" ht="12.75">
      <c r="A13" t="s">
        <v>16</v>
      </c>
      <c r="C13" s="14">
        <f>(E8*A8/2+K8*I8/2)/C12</f>
        <v>0.11560553633217993</v>
      </c>
      <c r="D13" s="14">
        <f>(E8*B8/2+K8*(B8+J8))/C12</f>
        <v>0.26266089965397926</v>
      </c>
      <c r="E13" s="15"/>
      <c r="F13" s="15"/>
      <c r="G13" s="15"/>
      <c r="H13" s="15"/>
      <c r="I13" s="15"/>
      <c r="J13" s="15"/>
    </row>
    <row r="14" spans="1:10" ht="12.75">
      <c r="A14" t="s">
        <v>17</v>
      </c>
      <c r="C14" s="14">
        <f>F8+E8*(D13-B8/2)^2+M8+K8*(B8+J8-D13)^2</f>
        <v>0.00022290507072664364</v>
      </c>
      <c r="D14" s="14">
        <f>G8+E8*(C13-A8/2)^2+L8+K8*(I8/2-C13)^2</f>
        <v>0.00010265676124567475</v>
      </c>
      <c r="E14" s="14">
        <f>E8*(A8/2-C13)*(B8/2-D13)+K8*(I8/2-C13)*(B8+J8-D13)</f>
        <v>3.882997370242215E-05</v>
      </c>
      <c r="F14" s="15"/>
      <c r="G14" s="15"/>
      <c r="H14" s="15"/>
      <c r="I14" s="15"/>
      <c r="J14" s="15"/>
    </row>
    <row r="15" spans="1:10" ht="12.75">
      <c r="A15" t="s">
        <v>18</v>
      </c>
      <c r="C15" s="14">
        <f>(C14+D14)/2+SQRT((C14-D14)^2/4+E14^2)</f>
        <v>0.00023435382176054082</v>
      </c>
      <c r="D15" s="14">
        <f>(C14+D14)/2-SQRT((C14-D14)^2/4+E14^2)</f>
        <v>9.120801021177755E-05</v>
      </c>
      <c r="E15" s="15"/>
      <c r="F15" s="15"/>
      <c r="G15" s="15"/>
      <c r="H15" s="15"/>
      <c r="I15" s="15"/>
      <c r="J15" s="15"/>
    </row>
    <row r="16" spans="1:10" ht="12.75">
      <c r="A16" t="s">
        <v>19</v>
      </c>
      <c r="C16" s="15">
        <f>IF(ATAN2(-E14,C15-C14)&gt;PI()/2,ATAN2(-E14,C15-C14)-PI(),ATAN2(-E14,C15-C14))</f>
        <v>-0.2867190332479934</v>
      </c>
      <c r="D16" s="15" t="s">
        <v>26</v>
      </c>
      <c r="E16" s="16">
        <f>DEGREES(C16)</f>
        <v>-16.42779051118115</v>
      </c>
      <c r="F16" s="15" t="s">
        <v>27</v>
      </c>
      <c r="G16" s="15" t="s">
        <v>31</v>
      </c>
      <c r="H16" s="17">
        <f>COS(C16)</f>
        <v>0.9591769159528665</v>
      </c>
      <c r="I16" s="15" t="s">
        <v>32</v>
      </c>
      <c r="J16" s="17">
        <f>SIN(C16)</f>
        <v>-0.2828067253499247</v>
      </c>
    </row>
    <row r="17" ht="12.75">
      <c r="A17" t="s">
        <v>24</v>
      </c>
    </row>
    <row r="18" spans="1:3" ht="12.75">
      <c r="A18" t="s">
        <v>22</v>
      </c>
      <c r="C18" s="15">
        <f>A4*1000*COS(C16)</f>
        <v>11510.122991434399</v>
      </c>
    </row>
    <row r="19" spans="1:3" ht="12.75">
      <c r="A19" t="s">
        <v>23</v>
      </c>
      <c r="C19" s="15">
        <f>-A4*1000*SIN(C16)</f>
        <v>3393.680704199096</v>
      </c>
    </row>
    <row r="20" spans="1:3" ht="12.75">
      <c r="A20" t="s">
        <v>38</v>
      </c>
      <c r="C20" s="15"/>
    </row>
    <row r="21" spans="1:3" ht="12.75">
      <c r="A21" t="s">
        <v>41</v>
      </c>
      <c r="B21" s="20">
        <f>C15/D15*C19/C18</f>
        <v>0.757582743824826</v>
      </c>
      <c r="C21" s="19" t="s">
        <v>40</v>
      </c>
    </row>
    <row r="22" ht="12.75">
      <c r="A22" t="s">
        <v>25</v>
      </c>
    </row>
    <row r="23" spans="1:7" ht="12.75">
      <c r="A23" t="s">
        <v>3</v>
      </c>
      <c r="B23" s="15">
        <v>0</v>
      </c>
      <c r="C23" s="15">
        <v>0</v>
      </c>
      <c r="D23" s="17">
        <f aca="true" t="shared" si="0" ref="D23:E27">B23-C$13</f>
        <v>-0.11560553633217993</v>
      </c>
      <c r="E23" s="17">
        <f t="shared" si="0"/>
        <v>-0.26266089965397926</v>
      </c>
      <c r="F23" s="15">
        <f>D23*H$16+E23*J$16</f>
        <v>-0.036603892897570364</v>
      </c>
      <c r="G23" s="15">
        <f>-D23*J$16+E23*H$16</f>
        <v>-0.2846322948339347</v>
      </c>
    </row>
    <row r="24" spans="1:7" ht="12.75">
      <c r="A24" t="s">
        <v>28</v>
      </c>
      <c r="B24" s="15">
        <f>A8</f>
        <v>0.16</v>
      </c>
      <c r="C24" s="15">
        <v>0</v>
      </c>
      <c r="D24" s="17">
        <f t="shared" si="0"/>
        <v>0.04439446366782007</v>
      </c>
      <c r="E24" s="17">
        <f t="shared" si="0"/>
        <v>-0.26266089965397926</v>
      </c>
      <c r="F24" s="15">
        <f>D24*H$16+E24*J$16</f>
        <v>0.11686441365488828</v>
      </c>
      <c r="G24" s="15">
        <f>-D24*J$16+E24*H$16</f>
        <v>-0.23938321877794677</v>
      </c>
    </row>
    <row r="25" spans="1:7" ht="12.75">
      <c r="A25" t="s">
        <v>1</v>
      </c>
      <c r="B25" s="15">
        <f>I8</f>
        <v>0.3</v>
      </c>
      <c r="C25" s="15">
        <f>B8</f>
        <v>0.33</v>
      </c>
      <c r="D25" s="17">
        <f t="shared" si="0"/>
        <v>0.18439446366782006</v>
      </c>
      <c r="E25" s="17">
        <f t="shared" si="0"/>
        <v>0.06733910034602075</v>
      </c>
      <c r="F25" s="15">
        <f>D25*H$16+E25*J$16</f>
        <v>0.15782296252281441</v>
      </c>
      <c r="G25" s="15">
        <f>-D25*J$16+E25*H$16</f>
        <v>0.11673810503548865</v>
      </c>
    </row>
    <row r="26" spans="1:7" ht="12.75">
      <c r="A26" t="s">
        <v>29</v>
      </c>
      <c r="B26" s="15">
        <f>I8</f>
        <v>0.3</v>
      </c>
      <c r="C26" s="15">
        <f>B8+H8</f>
        <v>0.43000000000000005</v>
      </c>
      <c r="D26" s="17">
        <f t="shared" si="0"/>
        <v>0.18439446366782006</v>
      </c>
      <c r="E26" s="17">
        <f t="shared" si="0"/>
        <v>0.16733910034602079</v>
      </c>
      <c r="F26" s="15">
        <f>D26*H$16+E26*J$16</f>
        <v>0.12954228998782194</v>
      </c>
      <c r="G26" s="15">
        <f>-D26*J$16+E26*H$16</f>
        <v>0.21265579663077533</v>
      </c>
    </row>
    <row r="27" spans="1:7" ht="12.75">
      <c r="A27" t="s">
        <v>30</v>
      </c>
      <c r="B27" s="15">
        <v>0</v>
      </c>
      <c r="C27" s="15">
        <f>B8+H8</f>
        <v>0.43000000000000005</v>
      </c>
      <c r="D27" s="17">
        <f t="shared" si="0"/>
        <v>-0.11560553633217993</v>
      </c>
      <c r="E27" s="17">
        <f t="shared" si="0"/>
        <v>0.16733910034602079</v>
      </c>
      <c r="F27" s="15">
        <f>D27*H$16+E27*J$16</f>
        <v>-0.158210784798038</v>
      </c>
      <c r="G27" s="15">
        <f>-D27*J$16+E27*H$16</f>
        <v>0.12781377902579794</v>
      </c>
    </row>
    <row r="28" ht="12.75">
      <c r="A28" t="s">
        <v>21</v>
      </c>
    </row>
    <row r="29" spans="1:2" ht="12.75">
      <c r="A29" t="s">
        <v>3</v>
      </c>
      <c r="B29" s="18">
        <f>(C$18/C$15*G23-C$19/D$15*F23)/1000000</f>
        <v>-12.617551916531939</v>
      </c>
    </row>
    <row r="30" spans="1:2" ht="12.75">
      <c r="A30" t="s">
        <v>28</v>
      </c>
      <c r="B30" s="18">
        <f>(C$18/C$15*G24-C$19/D$15*F24)/1000000</f>
        <v>-16.10544612299121</v>
      </c>
    </row>
    <row r="31" spans="1:2" ht="12.75">
      <c r="A31" t="s">
        <v>1</v>
      </c>
      <c r="B31" s="18">
        <f>(C$18/C$15*G25-C$19/D$15*F25)/1000000</f>
        <v>-0.13878953297197819</v>
      </c>
    </row>
    <row r="32" spans="1:2" ht="12.75">
      <c r="A32" t="s">
        <v>29</v>
      </c>
      <c r="B32" s="18">
        <f>(C$18/C$15*G26-C$19/D$15*F26)/1000000</f>
        <v>5.624411685413204</v>
      </c>
    </row>
    <row r="33" spans="1:2" ht="12.75">
      <c r="A33" t="s">
        <v>30</v>
      </c>
      <c r="B33" s="18">
        <f>(C$18/C$15*G27-C$19/D$15*F27)/1000000</f>
        <v>12.164213322524343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35"/>
  <sheetViews>
    <sheetView workbookViewId="0" topLeftCell="A1">
      <selection activeCell="F10" sqref="F10"/>
    </sheetView>
  </sheetViews>
  <sheetFormatPr defaultColWidth="9.33203125" defaultRowHeight="12.75"/>
  <cols>
    <col min="2" max="2" width="9" style="0" bestFit="1" customWidth="1"/>
    <col min="4" max="4" width="8.5" style="0" bestFit="1" customWidth="1"/>
    <col min="5" max="5" width="9.16015625" style="0" bestFit="1" customWidth="1"/>
    <col min="6" max="6" width="9.5" style="0" bestFit="1" customWidth="1"/>
    <col min="7" max="7" width="9.16015625" style="0" bestFit="1" customWidth="1"/>
    <col min="8" max="8" width="8.5" style="0" bestFit="1" customWidth="1"/>
    <col min="9" max="9" width="7.16015625" style="0" bestFit="1" customWidth="1"/>
    <col min="10" max="10" width="7.33203125" style="0" bestFit="1" customWidth="1"/>
    <col min="11" max="11" width="8.5" style="0" bestFit="1" customWidth="1"/>
    <col min="12" max="12" width="9.5" style="0" bestFit="1" customWidth="1"/>
    <col min="13" max="13" width="9.16015625" style="0" bestFit="1" customWidth="1"/>
  </cols>
  <sheetData>
    <row r="1" ht="26.25">
      <c r="A1" s="1" t="s">
        <v>34</v>
      </c>
    </row>
    <row r="2" ht="12.75">
      <c r="A2" t="s">
        <v>0</v>
      </c>
    </row>
    <row r="3" spans="1:4" ht="12.75">
      <c r="A3" t="s">
        <v>5</v>
      </c>
      <c r="B3" s="4"/>
      <c r="C3" s="4"/>
      <c r="D3" s="4"/>
    </row>
    <row r="4" spans="1:4" ht="13.5" thickBot="1">
      <c r="A4" s="2">
        <v>-12</v>
      </c>
      <c r="B4" s="4"/>
      <c r="C4" s="4"/>
      <c r="D4" s="4"/>
    </row>
    <row r="5" spans="1:13" ht="12.75">
      <c r="A5" s="5" t="s">
        <v>2</v>
      </c>
      <c r="B5" s="6"/>
      <c r="C5" s="6"/>
      <c r="D5" s="6"/>
      <c r="E5" s="6"/>
      <c r="F5" s="6"/>
      <c r="G5" s="7"/>
      <c r="H5" s="5" t="s">
        <v>4</v>
      </c>
      <c r="I5" s="6"/>
      <c r="J5" s="6"/>
      <c r="K5" s="6"/>
      <c r="L5" s="6"/>
      <c r="M5" s="7"/>
    </row>
    <row r="6" spans="1:13" ht="12.75">
      <c r="A6" s="8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10" t="s">
        <v>12</v>
      </c>
      <c r="H6" s="8" t="s">
        <v>6</v>
      </c>
      <c r="I6" s="9" t="s">
        <v>7</v>
      </c>
      <c r="J6" s="9" t="s">
        <v>13</v>
      </c>
      <c r="K6" s="9" t="s">
        <v>10</v>
      </c>
      <c r="L6" s="9" t="s">
        <v>11</v>
      </c>
      <c r="M6" s="10" t="s">
        <v>12</v>
      </c>
    </row>
    <row r="7" spans="1:13" ht="13.5" thickBot="1">
      <c r="A7" s="11">
        <v>160</v>
      </c>
      <c r="B7" s="12">
        <v>330</v>
      </c>
      <c r="C7" s="12">
        <v>6</v>
      </c>
      <c r="D7" s="12">
        <v>12</v>
      </c>
      <c r="E7" s="12">
        <v>56.8</v>
      </c>
      <c r="F7" s="12">
        <v>11145</v>
      </c>
      <c r="G7" s="13">
        <v>820</v>
      </c>
      <c r="H7" s="11">
        <v>100</v>
      </c>
      <c r="I7" s="12">
        <v>300</v>
      </c>
      <c r="J7" s="12">
        <v>2.7</v>
      </c>
      <c r="K7" s="12">
        <v>58.8</v>
      </c>
      <c r="L7" s="12">
        <v>8030</v>
      </c>
      <c r="M7" s="13">
        <v>495</v>
      </c>
    </row>
    <row r="8" spans="1:13" ht="12.75">
      <c r="A8">
        <f>A7/1000</f>
        <v>0.16</v>
      </c>
      <c r="B8">
        <f>B7/1000</f>
        <v>0.33</v>
      </c>
      <c r="C8">
        <f>C7/1000</f>
        <v>0.006</v>
      </c>
      <c r="D8">
        <f>D7/1000</f>
        <v>0.012</v>
      </c>
      <c r="E8" s="3">
        <f>E7/10000</f>
        <v>0.005679999999999999</v>
      </c>
      <c r="F8" s="3">
        <f>F7/100000000</f>
        <v>0.00011145</v>
      </c>
      <c r="G8" s="3">
        <f>G7/100000000</f>
        <v>8.2E-06</v>
      </c>
      <c r="H8">
        <f>H7/1000</f>
        <v>0.1</v>
      </c>
      <c r="I8">
        <f>I7/1000</f>
        <v>0.3</v>
      </c>
      <c r="J8">
        <f>J7/100</f>
        <v>0.027000000000000003</v>
      </c>
      <c r="K8" s="3">
        <f>K7/10000</f>
        <v>0.00588</v>
      </c>
      <c r="L8" s="3">
        <f>L7/100000000</f>
        <v>8.03E-05</v>
      </c>
      <c r="M8" s="3">
        <f>M7/100000000</f>
        <v>4.95E-06</v>
      </c>
    </row>
    <row r="10" ht="12.75">
      <c r="A10" t="s">
        <v>14</v>
      </c>
    </row>
    <row r="11" ht="12.75">
      <c r="A11" t="s">
        <v>20</v>
      </c>
    </row>
    <row r="12" spans="1:10" ht="12.75">
      <c r="A12" t="s">
        <v>15</v>
      </c>
      <c r="C12" s="14">
        <f>E8+K8</f>
        <v>0.011559999999999999</v>
      </c>
      <c r="D12" s="15"/>
      <c r="E12" s="15"/>
      <c r="F12" s="15"/>
      <c r="G12" s="15"/>
      <c r="H12" s="15"/>
      <c r="I12" s="15"/>
      <c r="J12" s="15"/>
    </row>
    <row r="13" spans="1:10" ht="12.75">
      <c r="A13" t="s">
        <v>16</v>
      </c>
      <c r="C13" s="14">
        <f>(E8*I8+K8*I8/2)/C12</f>
        <v>0.2237024221453287</v>
      </c>
      <c r="D13" s="14">
        <f>(E8*B8/2+K8*(B8+J8))/C12</f>
        <v>0.26266089965397926</v>
      </c>
      <c r="E13" s="15"/>
      <c r="F13" s="15"/>
      <c r="G13" s="15"/>
      <c r="H13" s="15"/>
      <c r="I13" s="15"/>
      <c r="J13" s="15"/>
    </row>
    <row r="14" spans="1:10" ht="12.75">
      <c r="A14" t="s">
        <v>17</v>
      </c>
      <c r="C14" s="14">
        <f>F8+E8*(D13-B8/2)^2+M8+K8*(B8+J8-D13)^2</f>
        <v>0.00022290507072664364</v>
      </c>
      <c r="D14" s="14">
        <f>G8+E8*(C13-I8)^2+L8+K8*(C13-I8/2)^2</f>
        <v>0.0001535055363321799</v>
      </c>
      <c r="E14" s="14">
        <f>E8*(I8-C13)*(B8/2-D13)+K8*(I8/2-C13)*(B8+J8-D13)</f>
        <v>-8.320708650519032E-05</v>
      </c>
      <c r="F14" s="15"/>
      <c r="G14" s="15"/>
      <c r="H14" s="15"/>
      <c r="I14" s="15"/>
      <c r="J14" s="15"/>
    </row>
    <row r="15" spans="1:10" ht="12.75">
      <c r="A15" t="s">
        <v>18</v>
      </c>
      <c r="C15" s="14">
        <f>(C14+D14)/2+SQRT((C14-D14)^2/4+E14^2)</f>
        <v>0.00027835791352060564</v>
      </c>
      <c r="D15" s="14">
        <f>(C14+D14)/2-SQRT((C14-D14)^2/4+E14^2)</f>
        <v>9.805269353821788E-05</v>
      </c>
      <c r="E15" s="15"/>
      <c r="F15" s="15"/>
      <c r="G15" s="15"/>
      <c r="H15" s="15"/>
      <c r="I15" s="15"/>
      <c r="J15" s="15"/>
    </row>
    <row r="16" spans="1:10" ht="12.75">
      <c r="A16" t="s">
        <v>19</v>
      </c>
      <c r="C16" s="15">
        <f>IF(ATAN2(-E14,C15-C14)&gt;PI()/2,ATAN2(-E14,C15-C14)-PI(),ATAN2(-E14,C15-C14))</f>
        <v>0.5878482610530369</v>
      </c>
      <c r="D16" s="15" t="s">
        <v>26</v>
      </c>
      <c r="E16" s="16">
        <f>DEGREES(C16)</f>
        <v>33.68122435244366</v>
      </c>
      <c r="F16" s="15" t="s">
        <v>27</v>
      </c>
      <c r="G16" s="15" t="s">
        <v>31</v>
      </c>
      <c r="H16" s="17">
        <f>COS(C16)</f>
        <v>0.8321358982391188</v>
      </c>
      <c r="I16" s="15" t="s">
        <v>32</v>
      </c>
      <c r="J16" s="17">
        <f>SIN(C16)</f>
        <v>0.5545717689008113</v>
      </c>
    </row>
    <row r="17" ht="12.75">
      <c r="A17" t="s">
        <v>24</v>
      </c>
    </row>
    <row r="18" spans="1:3" ht="12.75">
      <c r="A18" t="s">
        <v>22</v>
      </c>
      <c r="C18" s="15">
        <f>A4*1000*COS(C16)</f>
        <v>-9985.630778869427</v>
      </c>
    </row>
    <row r="19" spans="1:3" ht="12.75">
      <c r="A19" t="s">
        <v>23</v>
      </c>
      <c r="C19" s="15">
        <f>-A4*1000*SIN(C16)</f>
        <v>6654.861226809735</v>
      </c>
    </row>
    <row r="20" spans="1:3" ht="12.75">
      <c r="A20" t="s">
        <v>38</v>
      </c>
      <c r="C20" s="15"/>
    </row>
    <row r="21" spans="1:3" ht="12.75">
      <c r="A21" t="s">
        <v>41</v>
      </c>
      <c r="B21" s="20">
        <f>C15/D15*C19/C18</f>
        <v>-1.891940804052271</v>
      </c>
      <c r="C21" s="19" t="s">
        <v>40</v>
      </c>
    </row>
    <row r="22" ht="12.75">
      <c r="A22" t="s">
        <v>25</v>
      </c>
    </row>
    <row r="23" spans="1:7" ht="12.75">
      <c r="A23" t="s">
        <v>3</v>
      </c>
      <c r="B23" s="15">
        <f>I8-A8/2</f>
        <v>0.21999999999999997</v>
      </c>
      <c r="C23" s="15">
        <v>0</v>
      </c>
      <c r="D23" s="17">
        <f>B23-C$13</f>
        <v>-0.003702422145328732</v>
      </c>
      <c r="E23" s="17">
        <f>C23-D$13</f>
        <v>-0.26266089965397926</v>
      </c>
      <c r="F23" s="15">
        <f aca="true" t="shared" si="0" ref="F23:F28">D23*H$16+E23*J$16</f>
        <v>-0.1487452381197493</v>
      </c>
      <c r="G23" s="15">
        <f aca="true" t="shared" si="1" ref="G23:G28">-D23*J$16+E23*H$16</f>
        <v>-0.2165163048675066</v>
      </c>
    </row>
    <row r="24" spans="1:7" ht="12.75">
      <c r="A24" t="s">
        <v>28</v>
      </c>
      <c r="B24" s="15">
        <f>I8+A8/2</f>
        <v>0.38</v>
      </c>
      <c r="C24" s="15">
        <v>0</v>
      </c>
      <c r="D24" s="17">
        <f aca="true" t="shared" si="2" ref="D24:E27">B24-C$13</f>
        <v>0.1562975778546713</v>
      </c>
      <c r="E24" s="17">
        <f t="shared" si="2"/>
        <v>-0.26266089965397926</v>
      </c>
      <c r="F24" s="15">
        <f t="shared" si="0"/>
        <v>-0.015603494401490253</v>
      </c>
      <c r="G24" s="15">
        <f t="shared" si="1"/>
        <v>-0.3052477878916364</v>
      </c>
    </row>
    <row r="25" spans="1:7" ht="12.75">
      <c r="A25" t="s">
        <v>1</v>
      </c>
      <c r="B25" s="15">
        <f>I8+A8/2</f>
        <v>0.38</v>
      </c>
      <c r="C25" s="15">
        <f>B8</f>
        <v>0.33</v>
      </c>
      <c r="D25" s="17">
        <f t="shared" si="2"/>
        <v>0.1562975778546713</v>
      </c>
      <c r="E25" s="17">
        <f t="shared" si="2"/>
        <v>0.06733910034602075</v>
      </c>
      <c r="F25" s="15">
        <f t="shared" si="0"/>
        <v>0.16740518933577747</v>
      </c>
      <c r="G25" s="15">
        <f t="shared" si="1"/>
        <v>-0.03064294147272719</v>
      </c>
    </row>
    <row r="26" spans="1:7" ht="12.75">
      <c r="A26" t="s">
        <v>29</v>
      </c>
      <c r="B26" s="15">
        <f>I8</f>
        <v>0.3</v>
      </c>
      <c r="C26" s="15">
        <f>B8+H8</f>
        <v>0.43000000000000005</v>
      </c>
      <c r="D26" s="17">
        <f t="shared" si="2"/>
        <v>0.07629757785467128</v>
      </c>
      <c r="E26" s="17">
        <f t="shared" si="2"/>
        <v>0.16733910034602079</v>
      </c>
      <c r="F26" s="15">
        <f t="shared" si="0"/>
        <v>0.1562914943667291</v>
      </c>
      <c r="G26" s="15">
        <f t="shared" si="1"/>
        <v>0.09693638986324964</v>
      </c>
    </row>
    <row r="27" spans="1:7" ht="12.75">
      <c r="A27" t="s">
        <v>30</v>
      </c>
      <c r="B27" s="15">
        <v>0</v>
      </c>
      <c r="C27" s="15">
        <f>B8+H8</f>
        <v>0.43000000000000005</v>
      </c>
      <c r="D27" s="17">
        <f t="shared" si="2"/>
        <v>-0.2237024221453287</v>
      </c>
      <c r="E27" s="17">
        <f t="shared" si="2"/>
        <v>0.16733910034602079</v>
      </c>
      <c r="F27" s="15">
        <f t="shared" si="0"/>
        <v>-0.09334927510500653</v>
      </c>
      <c r="G27" s="15">
        <f t="shared" si="1"/>
        <v>0.263307920533493</v>
      </c>
    </row>
    <row r="28" spans="1:7" ht="12.75">
      <c r="A28" t="s">
        <v>37</v>
      </c>
      <c r="B28" s="15">
        <v>0</v>
      </c>
      <c r="C28" s="15">
        <f>B8</f>
        <v>0.33</v>
      </c>
      <c r="D28" s="17">
        <f>B28-C$13</f>
        <v>-0.2237024221453287</v>
      </c>
      <c r="E28" s="17">
        <f>C28-D$13</f>
        <v>0.06733910034602075</v>
      </c>
      <c r="F28" s="15">
        <f t="shared" si="0"/>
        <v>-0.14880645199508769</v>
      </c>
      <c r="G28" s="15">
        <f t="shared" si="1"/>
        <v>0.18009433070958109</v>
      </c>
    </row>
    <row r="29" ht="12.75">
      <c r="A29" t="s">
        <v>21</v>
      </c>
    </row>
    <row r="30" spans="1:2" ht="12.75">
      <c r="A30" t="s">
        <v>3</v>
      </c>
      <c r="B30" s="18">
        <f aca="true" t="shared" si="3" ref="B30:B35">(C$18/C$15*G23-C$19/D$15*F23)/1000000</f>
        <v>17.862542233595132</v>
      </c>
    </row>
    <row r="31" spans="1:2" ht="12.75">
      <c r="A31" t="s">
        <v>28</v>
      </c>
      <c r="B31" s="18">
        <f t="shared" si="3"/>
        <v>12.009273776155508</v>
      </c>
    </row>
    <row r="32" spans="1:2" ht="12.75">
      <c r="A32" t="s">
        <v>1</v>
      </c>
      <c r="B32" s="18">
        <f t="shared" si="3"/>
        <v>-10.262567784014639</v>
      </c>
    </row>
    <row r="33" spans="1:2" ht="12.75">
      <c r="A33" t="s">
        <v>29</v>
      </c>
      <c r="B33" s="18">
        <f t="shared" si="3"/>
        <v>-14.084976452316086</v>
      </c>
    </row>
    <row r="34" spans="1:2" ht="12.75">
      <c r="A34" t="s">
        <v>30</v>
      </c>
      <c r="B34" s="18">
        <f t="shared" si="3"/>
        <v>-3.110098094616792</v>
      </c>
    </row>
    <row r="35" spans="1:2" ht="12.75">
      <c r="A35" t="s">
        <v>37</v>
      </c>
      <c r="B35" s="18">
        <f t="shared" si="3"/>
        <v>3.638944802404467</v>
      </c>
    </row>
  </sheetData>
  <sheetProtection password="8D88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M35"/>
  <sheetViews>
    <sheetView workbookViewId="0" topLeftCell="A1">
      <selection activeCell="F13" sqref="F13"/>
    </sheetView>
  </sheetViews>
  <sheetFormatPr defaultColWidth="9.33203125" defaultRowHeight="12.75"/>
  <cols>
    <col min="2" max="2" width="9" style="0" bestFit="1" customWidth="1"/>
    <col min="4" max="5" width="8.5" style="0" bestFit="1" customWidth="1"/>
    <col min="6" max="6" width="9.5" style="0" bestFit="1" customWidth="1"/>
    <col min="7" max="7" width="9.16015625" style="0" bestFit="1" customWidth="1"/>
    <col min="8" max="8" width="8.5" style="0" bestFit="1" customWidth="1"/>
    <col min="9" max="9" width="7.16015625" style="0" bestFit="1" customWidth="1"/>
    <col min="10" max="10" width="7.33203125" style="0" bestFit="1" customWidth="1"/>
    <col min="11" max="11" width="8.5" style="0" bestFit="1" customWidth="1"/>
    <col min="12" max="12" width="9.5" style="0" bestFit="1" customWidth="1"/>
    <col min="13" max="13" width="9.16015625" style="0" bestFit="1" customWidth="1"/>
  </cols>
  <sheetData>
    <row r="1" ht="26.25">
      <c r="A1" s="1" t="s">
        <v>35</v>
      </c>
    </row>
    <row r="2" ht="12.75">
      <c r="A2" t="s">
        <v>0</v>
      </c>
    </row>
    <row r="3" spans="1:4" ht="12.75">
      <c r="A3" t="s">
        <v>5</v>
      </c>
      <c r="B3" s="4"/>
      <c r="C3" s="4"/>
      <c r="D3" s="4"/>
    </row>
    <row r="4" spans="1:4" ht="13.5" thickBot="1">
      <c r="A4" s="2">
        <v>-12</v>
      </c>
      <c r="B4" s="4"/>
      <c r="C4" s="4"/>
      <c r="D4" s="4"/>
    </row>
    <row r="5" spans="1:13" ht="12.75">
      <c r="A5" s="5" t="s">
        <v>2</v>
      </c>
      <c r="B5" s="6"/>
      <c r="C5" s="6"/>
      <c r="D5" s="6"/>
      <c r="E5" s="6"/>
      <c r="F5" s="6"/>
      <c r="G5" s="7"/>
      <c r="H5" s="5" t="s">
        <v>4</v>
      </c>
      <c r="I5" s="6"/>
      <c r="J5" s="6"/>
      <c r="K5" s="6"/>
      <c r="L5" s="6"/>
      <c r="M5" s="7"/>
    </row>
    <row r="6" spans="1:13" ht="12.75">
      <c r="A6" s="8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10" t="s">
        <v>12</v>
      </c>
      <c r="H6" s="8" t="s">
        <v>6</v>
      </c>
      <c r="I6" s="9" t="s">
        <v>7</v>
      </c>
      <c r="J6" s="9" t="s">
        <v>13</v>
      </c>
      <c r="K6" s="9" t="s">
        <v>10</v>
      </c>
      <c r="L6" s="9" t="s">
        <v>11</v>
      </c>
      <c r="M6" s="10" t="s">
        <v>12</v>
      </c>
    </row>
    <row r="7" spans="1:13" ht="13.5" thickBot="1">
      <c r="A7" s="11">
        <v>160</v>
      </c>
      <c r="B7" s="12">
        <v>330</v>
      </c>
      <c r="C7" s="12">
        <v>6</v>
      </c>
      <c r="D7" s="12">
        <v>12</v>
      </c>
      <c r="E7" s="12">
        <v>56.8</v>
      </c>
      <c r="F7" s="12">
        <v>11145</v>
      </c>
      <c r="G7" s="13">
        <v>820</v>
      </c>
      <c r="H7" s="11">
        <v>100</v>
      </c>
      <c r="I7" s="12">
        <v>300</v>
      </c>
      <c r="J7" s="12">
        <v>2.7</v>
      </c>
      <c r="K7" s="12">
        <v>58.8</v>
      </c>
      <c r="L7" s="12">
        <v>8030</v>
      </c>
      <c r="M7" s="13">
        <v>495</v>
      </c>
    </row>
    <row r="8" spans="1:13" ht="12.75">
      <c r="A8">
        <f>A7/1000</f>
        <v>0.16</v>
      </c>
      <c r="B8">
        <f>B7/1000</f>
        <v>0.33</v>
      </c>
      <c r="C8">
        <f>C7/1000</f>
        <v>0.006</v>
      </c>
      <c r="D8">
        <f>D7/1000</f>
        <v>0.012</v>
      </c>
      <c r="E8" s="3">
        <f>E7/10000</f>
        <v>0.005679999999999999</v>
      </c>
      <c r="F8" s="3">
        <f>F7/100000000</f>
        <v>0.00011145</v>
      </c>
      <c r="G8" s="3">
        <f>G7/100000000</f>
        <v>8.2E-06</v>
      </c>
      <c r="H8">
        <f>H7/1000</f>
        <v>0.1</v>
      </c>
      <c r="I8">
        <f>I7/1000</f>
        <v>0.3</v>
      </c>
      <c r="J8">
        <f>J7/100</f>
        <v>0.027000000000000003</v>
      </c>
      <c r="K8" s="3">
        <f>K7/10000</f>
        <v>0.00588</v>
      </c>
      <c r="L8" s="3">
        <f>L7/100000000</f>
        <v>8.03E-05</v>
      </c>
      <c r="M8" s="3">
        <f>M7/100000000</f>
        <v>4.95E-06</v>
      </c>
    </row>
    <row r="10" ht="12.75">
      <c r="A10" t="s">
        <v>14</v>
      </c>
    </row>
    <row r="11" ht="12.75">
      <c r="A11" t="s">
        <v>20</v>
      </c>
    </row>
    <row r="12" spans="1:10" ht="12.75">
      <c r="A12" t="s">
        <v>15</v>
      </c>
      <c r="C12" s="14">
        <f>E8+K8</f>
        <v>0.011559999999999999</v>
      </c>
      <c r="D12" s="15"/>
      <c r="E12" s="15"/>
      <c r="F12" s="15"/>
      <c r="G12" s="15"/>
      <c r="H12" s="15"/>
      <c r="I12" s="15"/>
      <c r="J12" s="15"/>
    </row>
    <row r="13" spans="1:10" ht="12.75">
      <c r="A13" t="s">
        <v>16</v>
      </c>
      <c r="C13" s="14">
        <f>(E8*A8/2+K8*(A8/2+C8/2+I8/2))/C12</f>
        <v>0.1578235294117647</v>
      </c>
      <c r="D13" s="14">
        <f>(E8*B8/2+K8*(B8-D8-J8))/C12</f>
        <v>0.22908996539792387</v>
      </c>
      <c r="E13" s="15"/>
      <c r="F13" s="15"/>
      <c r="G13" s="15"/>
      <c r="H13" s="15"/>
      <c r="I13" s="15"/>
      <c r="J13" s="15"/>
    </row>
    <row r="14" spans="1:10" ht="12.75">
      <c r="A14" t="s">
        <v>17</v>
      </c>
      <c r="C14" s="14">
        <f>F8+E8*(D13-B8/2)^2+M8+K8*(B8-D8-J8-D13)^2</f>
        <v>0.00016226790643598615</v>
      </c>
      <c r="D14" s="14">
        <f>G8+E8*(C13-A8/2)^2+L8+K8*(A8/2+C8/2+I8/2-C13)^2</f>
        <v>0.00015613175999999997</v>
      </c>
      <c r="E14" s="14">
        <f>E8*(A8/2-C13)*(B8/2-D13)+K8*(A8/2+C8/2+I8/2-C13)*(B8-D8-J8-D13)</f>
        <v>5.569674352941174E-05</v>
      </c>
      <c r="F14" s="15"/>
      <c r="G14" s="15"/>
      <c r="H14" s="15"/>
      <c r="I14" s="15"/>
      <c r="J14" s="15"/>
    </row>
    <row r="15" spans="1:10" ht="12.75">
      <c r="A15" t="s">
        <v>18</v>
      </c>
      <c r="C15" s="14">
        <f>(C14+D14)/2+SQRT((C14-D14)^2/4+E14^2)</f>
        <v>0.00021498101564586952</v>
      </c>
      <c r="D15" s="14">
        <f>(C14+D14)/2-SQRT((C14-D14)^2/4+E14^2)</f>
        <v>0.00010341865079011658</v>
      </c>
      <c r="E15" s="15"/>
      <c r="F15" s="15"/>
      <c r="G15" s="15"/>
      <c r="H15" s="15"/>
      <c r="I15" s="15"/>
      <c r="J15" s="15"/>
    </row>
    <row r="16" spans="1:10" ht="12.75">
      <c r="A16" t="s">
        <v>19</v>
      </c>
      <c r="C16" s="15">
        <f>IF(ATAN2(-E14,C15-C14)&gt;PI()/2,ATAN2(-E14,C15-C14)-PI(),ATAN2(-E14,C15-C14))</f>
        <v>-0.7578833087149821</v>
      </c>
      <c r="D16" s="15" t="s">
        <v>26</v>
      </c>
      <c r="E16" s="16">
        <f>DEGREES(C16)</f>
        <v>-43.423514952778916</v>
      </c>
      <c r="F16" s="15" t="s">
        <v>27</v>
      </c>
      <c r="G16" s="15" t="s">
        <v>31</v>
      </c>
      <c r="H16" s="17">
        <f>COS(C16)</f>
        <v>0.7262926199004253</v>
      </c>
      <c r="I16" s="15" t="s">
        <v>32</v>
      </c>
      <c r="J16" s="17">
        <f>SIN(C16)</f>
        <v>-0.6873856488741793</v>
      </c>
    </row>
    <row r="17" ht="12.75">
      <c r="A17" t="s">
        <v>24</v>
      </c>
    </row>
    <row r="18" spans="1:3" ht="12.75">
      <c r="A18" t="s">
        <v>22</v>
      </c>
      <c r="C18" s="15">
        <f>A4*1000*COS(C16)</f>
        <v>-8715.511438805102</v>
      </c>
    </row>
    <row r="19" spans="1:3" ht="12.75">
      <c r="A19" t="s">
        <v>23</v>
      </c>
      <c r="C19" s="15">
        <f>-A4*1000*SIN(C16)</f>
        <v>-8248.627786490151</v>
      </c>
    </row>
    <row r="20" spans="1:3" ht="12.75">
      <c r="A20" t="s">
        <v>38</v>
      </c>
      <c r="C20" s="15"/>
    </row>
    <row r="21" spans="1:3" ht="12.75">
      <c r="A21" t="s">
        <v>41</v>
      </c>
      <c r="B21" s="20">
        <f>C15/D15*C19/C18</f>
        <v>1.9673882454485458</v>
      </c>
      <c r="C21" s="19" t="s">
        <v>40</v>
      </c>
    </row>
    <row r="22" ht="12.75">
      <c r="A22" t="s">
        <v>25</v>
      </c>
    </row>
    <row r="23" spans="1:7" ht="12.75">
      <c r="A23" t="s">
        <v>3</v>
      </c>
      <c r="B23" s="15">
        <v>0</v>
      </c>
      <c r="C23" s="15">
        <v>0</v>
      </c>
      <c r="D23" s="17">
        <f>B23-C$13</f>
        <v>-0.1578235294117647</v>
      </c>
      <c r="E23" s="17">
        <f>C23-D$13</f>
        <v>-0.22908996539792387</v>
      </c>
      <c r="F23" s="15">
        <f aca="true" t="shared" si="0" ref="F23:F28">D23*H$16+E23*J$16</f>
        <v>0.04284708985721279</v>
      </c>
      <c r="G23" s="15">
        <f aca="true" t="shared" si="1" ref="G23:G28">-D23*J$16+E23*H$16</f>
        <v>-0.2748719803340749</v>
      </c>
    </row>
    <row r="24" spans="1:7" ht="12.75">
      <c r="A24" t="s">
        <v>28</v>
      </c>
      <c r="B24" s="15">
        <f>A8</f>
        <v>0.16</v>
      </c>
      <c r="C24" s="15">
        <v>0</v>
      </c>
      <c r="D24" s="17">
        <f aca="true" t="shared" si="2" ref="D24:E27">B24-C$13</f>
        <v>0.0021764705882353075</v>
      </c>
      <c r="E24" s="17">
        <f t="shared" si="2"/>
        <v>-0.22908996539792387</v>
      </c>
      <c r="F24" s="15">
        <f t="shared" si="0"/>
        <v>0.15905390904128083</v>
      </c>
      <c r="G24" s="15">
        <f t="shared" si="1"/>
        <v>-0.1648902765142062</v>
      </c>
    </row>
    <row r="25" spans="1:7" ht="12.75">
      <c r="A25" t="s">
        <v>1</v>
      </c>
      <c r="B25" s="15">
        <f>A8/2+C8/2+I8</f>
        <v>0.383</v>
      </c>
      <c r="C25" s="15">
        <f>B8-D8-H8</f>
        <v>0.218</v>
      </c>
      <c r="D25" s="17">
        <f t="shared" si="2"/>
        <v>0.2251764705882353</v>
      </c>
      <c r="E25" s="17">
        <f t="shared" si="2"/>
        <v>-0.011089965397923868</v>
      </c>
      <c r="F25" s="15">
        <f t="shared" si="0"/>
        <v>0.17116709182450457</v>
      </c>
      <c r="G25" s="15">
        <f t="shared" si="1"/>
        <v>0.1467285143230285</v>
      </c>
    </row>
    <row r="26" spans="1:7" ht="12.75">
      <c r="A26" t="s">
        <v>29</v>
      </c>
      <c r="B26" s="15">
        <f>B25</f>
        <v>0.383</v>
      </c>
      <c r="C26" s="15">
        <f>C25+H8</f>
        <v>0.318</v>
      </c>
      <c r="D26" s="17">
        <f t="shared" si="2"/>
        <v>0.2251764705882353</v>
      </c>
      <c r="E26" s="17">
        <f t="shared" si="2"/>
        <v>0.08891003460207614</v>
      </c>
      <c r="F26" s="15">
        <f t="shared" si="0"/>
        <v>0.10242852693708665</v>
      </c>
      <c r="G26" s="15">
        <f t="shared" si="1"/>
        <v>0.21935777631307102</v>
      </c>
    </row>
    <row r="27" spans="1:7" ht="12.75">
      <c r="A27" t="s">
        <v>30</v>
      </c>
      <c r="B27" s="15">
        <f>B24</f>
        <v>0.16</v>
      </c>
      <c r="C27" s="15">
        <f>B8</f>
        <v>0.33</v>
      </c>
      <c r="D27" s="17">
        <f t="shared" si="2"/>
        <v>0.0021764705882353075</v>
      </c>
      <c r="E27" s="17">
        <f t="shared" si="2"/>
        <v>0.10091003460207615</v>
      </c>
      <c r="F27" s="15">
        <f t="shared" si="0"/>
        <v>-0.06778335508719836</v>
      </c>
      <c r="G27" s="15">
        <f t="shared" si="1"/>
        <v>0.07478628805293415</v>
      </c>
    </row>
    <row r="28" spans="1:7" ht="12.75">
      <c r="A28" t="s">
        <v>37</v>
      </c>
      <c r="B28" s="15">
        <v>0</v>
      </c>
      <c r="C28" s="15">
        <f>B8</f>
        <v>0.33</v>
      </c>
      <c r="D28" s="17">
        <f>B28-C$13</f>
        <v>-0.1578235294117647</v>
      </c>
      <c r="E28" s="17">
        <f>C28-D$13</f>
        <v>0.10091003460207615</v>
      </c>
      <c r="F28" s="15">
        <f t="shared" si="0"/>
        <v>-0.1839901742712664</v>
      </c>
      <c r="G28" s="15">
        <f t="shared" si="1"/>
        <v>-0.03519541576693454</v>
      </c>
    </row>
    <row r="29" ht="12.75">
      <c r="A29" t="s">
        <v>21</v>
      </c>
    </row>
    <row r="30" spans="1:2" ht="12.75">
      <c r="A30" t="s">
        <v>3</v>
      </c>
      <c r="B30" s="18">
        <f aca="true" t="shared" si="3" ref="B30:B35">(C$18/C$15*G23-C$19/D$15*F23)/1000000</f>
        <v>14.561007329664937</v>
      </c>
    </row>
    <row r="31" spans="1:2" ht="12.75">
      <c r="A31" t="s">
        <v>28</v>
      </c>
      <c r="B31" s="18">
        <f t="shared" si="3"/>
        <v>19.3708631078391</v>
      </c>
    </row>
    <row r="32" spans="1:2" ht="12.75">
      <c r="A32" t="s">
        <v>1</v>
      </c>
      <c r="B32" s="18">
        <f t="shared" si="3"/>
        <v>7.7037171996029805</v>
      </c>
    </row>
    <row r="33" spans="1:2" ht="12.75">
      <c r="A33" t="s">
        <v>29</v>
      </c>
      <c r="B33" s="18">
        <f t="shared" si="3"/>
        <v>-0.7232930751981027</v>
      </c>
    </row>
    <row r="34" spans="1:2" ht="12.75">
      <c r="A34" t="s">
        <v>30</v>
      </c>
      <c r="B34" s="18">
        <f t="shared" si="3"/>
        <v>-8.438270799004474</v>
      </c>
    </row>
    <row r="35" spans="1:2" ht="12.75">
      <c r="A35" t="s">
        <v>37</v>
      </c>
      <c r="B35" s="18">
        <f t="shared" si="3"/>
        <v>-13.248126577178638</v>
      </c>
    </row>
  </sheetData>
  <sheetProtection password="8D88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C29" sqref="C29"/>
    </sheetView>
  </sheetViews>
  <sheetFormatPr defaultColWidth="9.33203125" defaultRowHeight="12.75"/>
  <cols>
    <col min="2" max="2" width="9" style="0" bestFit="1" customWidth="1"/>
    <col min="4" max="5" width="8.5" style="0" bestFit="1" customWidth="1"/>
    <col min="6" max="6" width="9.5" style="0" bestFit="1" customWidth="1"/>
    <col min="7" max="7" width="9.16015625" style="0" bestFit="1" customWidth="1"/>
    <col min="8" max="8" width="8.5" style="0" bestFit="1" customWidth="1"/>
    <col min="9" max="9" width="7.16015625" style="0" bestFit="1" customWidth="1"/>
    <col min="10" max="10" width="7.33203125" style="0" bestFit="1" customWidth="1"/>
    <col min="11" max="11" width="8.5" style="0" bestFit="1" customWidth="1"/>
    <col min="12" max="12" width="9.5" style="0" bestFit="1" customWidth="1"/>
    <col min="13" max="13" width="9.16015625" style="0" bestFit="1" customWidth="1"/>
  </cols>
  <sheetData>
    <row r="1" ht="26.25">
      <c r="A1" s="1" t="s">
        <v>36</v>
      </c>
    </row>
    <row r="2" ht="12.75">
      <c r="A2" t="s">
        <v>0</v>
      </c>
    </row>
    <row r="3" spans="1:4" ht="12.75">
      <c r="A3" t="s">
        <v>5</v>
      </c>
      <c r="B3" s="4"/>
      <c r="C3" s="4"/>
      <c r="D3" s="4"/>
    </row>
    <row r="4" spans="1:4" ht="13.5" thickBot="1">
      <c r="A4" s="2">
        <v>12</v>
      </c>
      <c r="B4" s="4"/>
      <c r="C4" s="4"/>
      <c r="D4" s="4"/>
    </row>
    <row r="5" spans="1:13" ht="12.75">
      <c r="A5" s="5" t="s">
        <v>2</v>
      </c>
      <c r="B5" s="6"/>
      <c r="C5" s="6"/>
      <c r="D5" s="6"/>
      <c r="E5" s="6"/>
      <c r="F5" s="6"/>
      <c r="G5" s="7"/>
      <c r="H5" s="5" t="s">
        <v>4</v>
      </c>
      <c r="I5" s="6"/>
      <c r="J5" s="6"/>
      <c r="K5" s="6"/>
      <c r="L5" s="6"/>
      <c r="M5" s="7"/>
    </row>
    <row r="6" spans="1:13" ht="12.75">
      <c r="A6" s="8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10" t="s">
        <v>12</v>
      </c>
      <c r="H6" s="8" t="s">
        <v>6</v>
      </c>
      <c r="I6" s="9" t="s">
        <v>7</v>
      </c>
      <c r="J6" s="9" t="s">
        <v>13</v>
      </c>
      <c r="K6" s="9" t="s">
        <v>10</v>
      </c>
      <c r="L6" s="9" t="s">
        <v>11</v>
      </c>
      <c r="M6" s="10" t="s">
        <v>12</v>
      </c>
    </row>
    <row r="7" spans="1:13" ht="13.5" thickBot="1">
      <c r="A7" s="11">
        <v>160</v>
      </c>
      <c r="B7" s="12">
        <v>330</v>
      </c>
      <c r="C7" s="12">
        <v>6</v>
      </c>
      <c r="D7" s="12">
        <v>12</v>
      </c>
      <c r="E7" s="12">
        <v>56.8</v>
      </c>
      <c r="F7" s="12">
        <v>11145</v>
      </c>
      <c r="G7" s="13">
        <v>820</v>
      </c>
      <c r="H7" s="11">
        <v>100</v>
      </c>
      <c r="I7" s="12">
        <v>300</v>
      </c>
      <c r="J7" s="12">
        <v>2.7</v>
      </c>
      <c r="K7" s="12">
        <v>58.8</v>
      </c>
      <c r="L7" s="12">
        <v>8030</v>
      </c>
      <c r="M7" s="13">
        <v>495</v>
      </c>
    </row>
    <row r="8" spans="1:13" ht="12.75">
      <c r="A8">
        <f>A7/1000</f>
        <v>0.16</v>
      </c>
      <c r="B8">
        <f>B7/1000</f>
        <v>0.33</v>
      </c>
      <c r="C8">
        <f>C7/1000</f>
        <v>0.006</v>
      </c>
      <c r="D8">
        <f>D7/1000</f>
        <v>0.012</v>
      </c>
      <c r="E8" s="3">
        <f>E7/10000</f>
        <v>0.005679999999999999</v>
      </c>
      <c r="F8" s="3">
        <f>F7/100000000</f>
        <v>0.00011145</v>
      </c>
      <c r="G8" s="3">
        <f>G7/100000000</f>
        <v>8.2E-06</v>
      </c>
      <c r="H8">
        <f>H7/1000</f>
        <v>0.1</v>
      </c>
      <c r="I8">
        <f>I7/1000</f>
        <v>0.3</v>
      </c>
      <c r="J8">
        <f>J7/100</f>
        <v>0.027000000000000003</v>
      </c>
      <c r="K8" s="3">
        <f>K7/10000</f>
        <v>0.00588</v>
      </c>
      <c r="L8" s="3">
        <f>L7/100000000</f>
        <v>8.03E-05</v>
      </c>
      <c r="M8" s="3">
        <f>M7/100000000</f>
        <v>4.95E-06</v>
      </c>
    </row>
    <row r="10" ht="12.75">
      <c r="A10" t="s">
        <v>14</v>
      </c>
    </row>
    <row r="11" ht="12.75">
      <c r="A11" t="s">
        <v>20</v>
      </c>
    </row>
    <row r="12" spans="1:10" ht="12.75">
      <c r="A12" t="s">
        <v>15</v>
      </c>
      <c r="C12" s="14">
        <f>E8+K8</f>
        <v>0.011559999999999999</v>
      </c>
      <c r="D12" s="15"/>
      <c r="E12" s="15"/>
      <c r="F12" s="15"/>
      <c r="G12" s="15"/>
      <c r="H12" s="15"/>
      <c r="I12" s="15"/>
      <c r="J12" s="15"/>
    </row>
    <row r="13" spans="1:10" ht="12.75">
      <c r="A13" t="s">
        <v>16</v>
      </c>
      <c r="C13" s="14">
        <f>(E8*B8/2+K8*(B8-D8-H8+J8))/C12</f>
        <v>0.20569204152249135</v>
      </c>
      <c r="D13" s="14">
        <f>(E8*A8/2+K8*(A8/2+C8/2+I8/2))/C12</f>
        <v>0.1578235294117647</v>
      </c>
      <c r="E13" s="15"/>
      <c r="F13" s="15"/>
      <c r="G13" s="15"/>
      <c r="H13" s="15"/>
      <c r="I13" s="15"/>
      <c r="J13" s="15"/>
    </row>
    <row r="14" spans="1:10" ht="12.75">
      <c r="A14" t="s">
        <v>17</v>
      </c>
      <c r="C14" s="14">
        <f>G8+E8*(D13-A8/2)^2+L8+K8*(A8/2+C8/2+I8/2-D13)^2</f>
        <v>0.00015613175999999997</v>
      </c>
      <c r="D14" s="14">
        <f>F8+E8*(C13-B8/2)^2+M8+K8*(B8-D8-H8+J8-C13)^2</f>
        <v>0.00013489046366782007</v>
      </c>
      <c r="E14" s="14">
        <f>E8*(B8/2-C13)*(A8/2-D13)+K8*(B8-D8-H8+J8-C13)*(A8/2+C8/2+I8/2-D13)</f>
        <v>3.536301176470587E-05</v>
      </c>
      <c r="F14" s="15"/>
      <c r="G14" s="15"/>
      <c r="H14" s="15"/>
      <c r="I14" s="15"/>
      <c r="J14" s="15"/>
    </row>
    <row r="15" spans="1:10" ht="12.75">
      <c r="A15" t="s">
        <v>18</v>
      </c>
      <c r="C15" s="14">
        <f>(C14+D14)/2+SQRT((C14-D14)^2/4+E14^2)</f>
        <v>0.00018243455653424364</v>
      </c>
      <c r="D15" s="14">
        <f>(C14+D14)/2-SQRT((C14-D14)^2/4+E14^2)</f>
        <v>0.00010858766713357639</v>
      </c>
      <c r="E15" s="15"/>
      <c r="F15" s="15"/>
      <c r="G15" s="15"/>
      <c r="H15" s="15"/>
      <c r="I15" s="15"/>
      <c r="J15" s="15"/>
    </row>
    <row r="16" spans="1:10" ht="12.75">
      <c r="A16" t="s">
        <v>19</v>
      </c>
      <c r="C16" s="15">
        <f>IF(ATAN2(-E14,C15-C14)&gt;PI()/2,ATAN2(-E14,C15-C14)-PI(),ATAN2(-E14,C15-C14))</f>
        <v>-0.6395174331085234</v>
      </c>
      <c r="D16" s="15" t="s">
        <v>26</v>
      </c>
      <c r="E16" s="16">
        <f>DEGREES(C16)</f>
        <v>-36.64164984215833</v>
      </c>
      <c r="F16" s="15" t="s">
        <v>27</v>
      </c>
      <c r="G16" s="15" t="s">
        <v>31</v>
      </c>
      <c r="H16" s="17">
        <f>COS(C16)</f>
        <v>0.8023838512285093</v>
      </c>
      <c r="I16" s="15" t="s">
        <v>32</v>
      </c>
      <c r="J16" s="17">
        <f>SIN(C16)</f>
        <v>-0.5968083069861758</v>
      </c>
    </row>
    <row r="17" ht="12.75">
      <c r="A17" t="s">
        <v>24</v>
      </c>
    </row>
    <row r="18" spans="1:3" ht="12.75">
      <c r="A18" t="s">
        <v>22</v>
      </c>
      <c r="C18" s="21">
        <f>A4*1000*COS(C16)</f>
        <v>9628.60621474211</v>
      </c>
    </row>
    <row r="19" spans="1:3" ht="12.75">
      <c r="A19" t="s">
        <v>23</v>
      </c>
      <c r="C19" s="21">
        <f>-A4*1000*SIN(C16)</f>
        <v>7161.69968383411</v>
      </c>
    </row>
    <row r="20" spans="1:3" ht="12.75">
      <c r="A20" t="s">
        <v>38</v>
      </c>
      <c r="C20" s="15"/>
    </row>
    <row r="21" spans="1:3" ht="12.75">
      <c r="A21" t="s">
        <v>39</v>
      </c>
      <c r="B21" s="20">
        <f>C15/D15*C19/C18</f>
        <v>1.2496237834615644</v>
      </c>
      <c r="C21" s="19" t="s">
        <v>40</v>
      </c>
    </row>
    <row r="22" ht="12.75">
      <c r="A22" t="s">
        <v>25</v>
      </c>
    </row>
    <row r="23" spans="1:7" ht="12.75">
      <c r="A23" t="s">
        <v>3</v>
      </c>
      <c r="B23" s="15">
        <v>0</v>
      </c>
      <c r="C23" s="15">
        <v>0</v>
      </c>
      <c r="D23" s="17">
        <f>B23-C$13</f>
        <v>-0.20569204152249135</v>
      </c>
      <c r="E23" s="17">
        <f>C23-D$13</f>
        <v>-0.1578235294117647</v>
      </c>
      <c r="F23" s="15">
        <f>D23*H$16+E23*J$16</f>
        <v>-0.07085357905305285</v>
      </c>
      <c r="G23" s="15">
        <f>-D23*J$16+E23*H$16</f>
        <v>-0.2493937704054559</v>
      </c>
    </row>
    <row r="24" spans="1:7" ht="12.75">
      <c r="A24" t="s">
        <v>28</v>
      </c>
      <c r="B24" s="15">
        <v>0.33</v>
      </c>
      <c r="C24" s="15">
        <v>0</v>
      </c>
      <c r="D24" s="17">
        <f aca="true" t="shared" si="0" ref="D24:E27">B24-C$13</f>
        <v>0.12430795847750867</v>
      </c>
      <c r="E24" s="17">
        <f t="shared" si="0"/>
        <v>-0.1578235294117647</v>
      </c>
      <c r="F24" s="15">
        <f>D24*H$16+E24*J$16</f>
        <v>0.19393309185235524</v>
      </c>
      <c r="G24" s="15">
        <f>-D24*J$16+E24*H$16</f>
        <v>-0.052447029100017875</v>
      </c>
    </row>
    <row r="25" spans="1:7" ht="12.75">
      <c r="A25" t="s">
        <v>1</v>
      </c>
      <c r="B25" s="15">
        <v>0.318</v>
      </c>
      <c r="C25" s="15">
        <v>0.383</v>
      </c>
      <c r="D25" s="17">
        <f t="shared" si="0"/>
        <v>0.11230795847750866</v>
      </c>
      <c r="E25" s="17">
        <f t="shared" si="0"/>
        <v>0.2251764705882353</v>
      </c>
      <c r="F25" s="15">
        <f>D25*H$16+E25*J$16</f>
        <v>-0.04427309593809221</v>
      </c>
      <c r="G25" s="15">
        <f>-D25*J$16+E25*H$16</f>
        <v>0.24770428623666707</v>
      </c>
    </row>
    <row r="26" spans="1:7" ht="12.75">
      <c r="A26" t="s">
        <v>29</v>
      </c>
      <c r="B26" s="15">
        <v>0.218</v>
      </c>
      <c r="C26" s="15">
        <v>0.383</v>
      </c>
      <c r="D26" s="17">
        <f t="shared" si="0"/>
        <v>0.012307958477508651</v>
      </c>
      <c r="E26" s="17">
        <f t="shared" si="0"/>
        <v>0.2251764705882353</v>
      </c>
      <c r="F26" s="15">
        <f>D26*H$16+E26*J$16</f>
        <v>-0.12451148106094315</v>
      </c>
      <c r="G26" s="15">
        <f>-D26*J$16+E26*H$16</f>
        <v>0.1880234555380495</v>
      </c>
    </row>
    <row r="27" spans="1:7" ht="12.75">
      <c r="A27" t="s">
        <v>30</v>
      </c>
      <c r="B27" s="15">
        <v>0</v>
      </c>
      <c r="C27" s="15">
        <v>0.16</v>
      </c>
      <c r="D27" s="17">
        <f t="shared" si="0"/>
        <v>-0.20569204152249135</v>
      </c>
      <c r="E27" s="17">
        <f t="shared" si="0"/>
        <v>0.0021764705882353075</v>
      </c>
      <c r="F27" s="15">
        <f>D27*H$16+E27*J$16</f>
        <v>-0.166342908170841</v>
      </c>
      <c r="G27" s="15">
        <f>-D27*J$16+E27*H$16</f>
        <v>-0.12101235420889442</v>
      </c>
    </row>
    <row r="28" ht="12.75">
      <c r="A28" t="s">
        <v>21</v>
      </c>
    </row>
    <row r="29" spans="1:2" ht="12.75">
      <c r="A29" t="s">
        <v>3</v>
      </c>
      <c r="B29" s="18">
        <f>(C$18/C$15*G23-C$19/D$15*F23)/1000000</f>
        <v>-8.489589831338893</v>
      </c>
    </row>
    <row r="30" spans="1:2" ht="12.75">
      <c r="A30" t="s">
        <v>28</v>
      </c>
      <c r="B30" s="18">
        <f>(C$18/C$15*G24-C$19/D$15*F24)/1000000</f>
        <v>-15.558570974231973</v>
      </c>
    </row>
    <row r="31" spans="1:2" ht="12.75">
      <c r="A31" t="s">
        <v>1</v>
      </c>
      <c r="B31" s="18">
        <f>(C$18/C$15*G25-C$19/D$15*F25)/1000000</f>
        <v>15.993389448805965</v>
      </c>
    </row>
    <row r="32" spans="1:2" ht="12.75">
      <c r="A32" t="s">
        <v>29</v>
      </c>
      <c r="B32" s="18">
        <f>(C$18/C$15*G26-C$19/D$15*F26)/1000000</f>
        <v>18.135504946652357</v>
      </c>
    </row>
    <row r="33" spans="1:2" ht="12.75">
      <c r="A33" t="s">
        <v>30</v>
      </c>
      <c r="B33" s="18">
        <f>(C$18/C$15*G27-C$19/D$15*F27)/1000000</f>
        <v>4.584000377871081</v>
      </c>
    </row>
  </sheetData>
  <sheetProtection password="8D88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2008-03-06T09:53:31Z</dcterms:created>
  <dcterms:modified xsi:type="dcterms:W3CDTF">2008-03-09T17:37:58Z</dcterms:modified>
  <cp:category/>
  <cp:version/>
  <cp:contentType/>
  <cp:contentStatus/>
</cp:coreProperties>
</file>