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1715" windowHeight="8700" activeTab="4"/>
  </bookViews>
  <sheets>
    <sheet name="circular arch" sheetId="1" r:id="rId1"/>
    <sheet name="M_c" sheetId="3" r:id="rId2"/>
    <sheet name="Q_c" sheetId="4" r:id="rId3"/>
    <sheet name="N_c" sheetId="5" r:id="rId4"/>
    <sheet name="parabolic arch" sheetId="2" r:id="rId5"/>
    <sheet name="M_p" sheetId="8" r:id="rId6"/>
    <sheet name="Q_p" sheetId="7" r:id="rId7"/>
    <sheet name="N_p" sheetId="6" r:id="rId8"/>
  </sheets>
  <definedNames>
    <definedName name="_R">'circular arch'!$A$5</definedName>
    <definedName name="dlu">'parabolic arch'!$A$4</definedName>
    <definedName name="f">'parabolic arch'!$B$4</definedName>
    <definedName name="Ha">'parabolic arch'!$B$13</definedName>
    <definedName name="Hb">'circular arch'!$C$9</definedName>
    <definedName name="Hbp">'parabolic arch'!$D$13</definedName>
    <definedName name="l">'circular arch'!#REF!</definedName>
    <definedName name="P">'circular arch'!$B$5</definedName>
    <definedName name="P_par">'parabolic arch'!$C$4</definedName>
    <definedName name="q">'circular arch'!$C$5</definedName>
    <definedName name="q_par">'parabolic arch'!$D$4</definedName>
    <definedName name="Ra">'circular arch'!$A$9</definedName>
    <definedName name="Va">'parabolic arch'!$A$13</definedName>
    <definedName name="Vb">'circular arch'!$B$9</definedName>
    <definedName name="Vbp">'parabolic arch'!$C$13</definedName>
    <definedName name="x_P">'parabolic arch'!$A$7</definedName>
    <definedName name="y_P">'parabolic arch'!$B$7</definedName>
  </definedNames>
  <calcPr calcId="145621"/>
  <customWorkbookViews>
    <customWorkbookView name="Adam Zaborski - Widok osobisty" guid="{484FCF24-996E-4569-BED5-50606160D3A0}" mergeInterval="0" changesSavedWin="1" personalView="1" includePrintSettings="0" includeHiddenRowCol="0" maximized="1" windowWidth="1012" windowHeight="559" activeSheetId="2"/>
    <customWorkbookView name="Adam - Widok osobisty" guid="{2DC63A75-8E99-4D2A-91A2-FF74286B6910}" mergeInterval="0" personalView="1" maximized="1" xWindow="1" yWindow="1" windowWidth="1362" windowHeight="539" activeSheetId="2"/>
  </customWorkbookViews>
</workbook>
</file>

<file path=xl/calcChain.xml><?xml version="1.0" encoding="utf-8"?>
<calcChain xmlns="http://schemas.openxmlformats.org/spreadsheetml/2006/main">
  <c r="A3" i="6" l="1"/>
  <c r="A4" i="6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3" i="8"/>
  <c r="A4" i="8" s="1"/>
  <c r="A7" i="2"/>
  <c r="B7" i="2"/>
  <c r="A13" i="2" s="1"/>
  <c r="B13" i="2"/>
  <c r="D2" i="6"/>
  <c r="E2" i="6" s="1"/>
  <c r="F2" i="6"/>
  <c r="D3" i="6"/>
  <c r="E3" i="6" s="1"/>
  <c r="F3" i="6"/>
  <c r="B2" i="6"/>
  <c r="B3" i="6"/>
  <c r="D2" i="7"/>
  <c r="E2" i="7" s="1"/>
  <c r="F2" i="7"/>
  <c r="D3" i="7"/>
  <c r="E3" i="7" s="1"/>
  <c r="F3" i="7"/>
  <c r="D4" i="7"/>
  <c r="E4" i="7" s="1"/>
  <c r="F4" i="7"/>
  <c r="D5" i="7"/>
  <c r="E5" i="7" s="1"/>
  <c r="F5" i="7"/>
  <c r="D6" i="7"/>
  <c r="E6" i="7" s="1"/>
  <c r="F6" i="7"/>
  <c r="D7" i="7"/>
  <c r="E7" i="7" s="1"/>
  <c r="F7" i="7"/>
  <c r="D8" i="7"/>
  <c r="E8" i="7" s="1"/>
  <c r="F8" i="7"/>
  <c r="D9" i="7"/>
  <c r="E9" i="7" s="1"/>
  <c r="F9" i="7"/>
  <c r="D10" i="7"/>
  <c r="E10" i="7" s="1"/>
  <c r="F10" i="7"/>
  <c r="D11" i="7"/>
  <c r="E11" i="7" s="1"/>
  <c r="F11" i="7"/>
  <c r="D12" i="7"/>
  <c r="E12" i="7" s="1"/>
  <c r="F12" i="7"/>
  <c r="D13" i="7"/>
  <c r="E13" i="7" s="1"/>
  <c r="F13" i="7"/>
  <c r="D14" i="7"/>
  <c r="E14" i="7" s="1"/>
  <c r="F14" i="7"/>
  <c r="D15" i="7"/>
  <c r="E15" i="7" s="1"/>
  <c r="F15" i="7"/>
  <c r="C15" i="7" s="1"/>
  <c r="D16" i="7"/>
  <c r="E16" i="7" s="1"/>
  <c r="F16" i="7"/>
  <c r="D17" i="7"/>
  <c r="E17" i="7" s="1"/>
  <c r="F17" i="7"/>
  <c r="D18" i="7"/>
  <c r="E18" i="7" s="1"/>
  <c r="F18" i="7"/>
  <c r="D19" i="7"/>
  <c r="E19" i="7" s="1"/>
  <c r="F19" i="7"/>
  <c r="D20" i="7"/>
  <c r="E20" i="7" s="1"/>
  <c r="F20" i="7"/>
  <c r="D21" i="7"/>
  <c r="E21" i="7" s="1"/>
  <c r="F21" i="7"/>
  <c r="D22" i="7"/>
  <c r="E22" i="7" s="1"/>
  <c r="F22" i="7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" i="8"/>
  <c r="C2" i="8"/>
  <c r="B3" i="8"/>
  <c r="C3" i="8"/>
  <c r="D2" i="8"/>
  <c r="E2" i="8"/>
  <c r="D3" i="8"/>
  <c r="E3" i="8" s="1"/>
  <c r="F2" i="8"/>
  <c r="F3" i="8"/>
  <c r="A30" i="2"/>
  <c r="C30" i="2"/>
  <c r="E30" i="2" s="1"/>
  <c r="D30" i="2"/>
  <c r="G30" i="2" s="1"/>
  <c r="A29" i="2"/>
  <c r="A28" i="2"/>
  <c r="C28" i="2"/>
  <c r="E28" i="2" s="1"/>
  <c r="D28" i="2"/>
  <c r="G28" i="2" s="1"/>
  <c r="A27" i="2"/>
  <c r="A26" i="2"/>
  <c r="C26" i="2"/>
  <c r="E26" i="2" s="1"/>
  <c r="D26" i="2"/>
  <c r="G26" i="2" s="1"/>
  <c r="A25" i="2"/>
  <c r="A24" i="2"/>
  <c r="C24" i="2"/>
  <c r="E24" i="2" s="1"/>
  <c r="D24" i="2"/>
  <c r="G24" i="2" s="1"/>
  <c r="D13" i="2"/>
  <c r="A23" i="2"/>
  <c r="A22" i="2"/>
  <c r="C22" i="2"/>
  <c r="D22" i="2" s="1"/>
  <c r="E22" i="2"/>
  <c r="A21" i="2"/>
  <c r="A20" i="2"/>
  <c r="C20" i="2"/>
  <c r="D20" i="2" s="1"/>
  <c r="E20" i="2"/>
  <c r="A19" i="2"/>
  <c r="A18" i="2"/>
  <c r="C18" i="2"/>
  <c r="D18" i="2" s="1"/>
  <c r="E18" i="2"/>
  <c r="C13" i="2"/>
  <c r="B30" i="2"/>
  <c r="F30" i="2"/>
  <c r="B28" i="2"/>
  <c r="F28" i="2"/>
  <c r="B26" i="2"/>
  <c r="F26" i="2"/>
  <c r="B24" i="2"/>
  <c r="F24" i="2"/>
  <c r="O21" i="5"/>
  <c r="A9" i="1"/>
  <c r="D14" i="4"/>
  <c r="D12" i="4"/>
  <c r="D10" i="4"/>
  <c r="D8" i="4"/>
  <c r="D6" i="4"/>
  <c r="D4" i="4"/>
  <c r="D2" i="4"/>
  <c r="B2" i="5"/>
  <c r="A3" i="5"/>
  <c r="B3" i="5" s="1"/>
  <c r="C3" i="5"/>
  <c r="C2" i="5"/>
  <c r="B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C15" i="4"/>
  <c r="A16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2" i="3"/>
  <c r="D2" i="3"/>
  <c r="C3" i="3"/>
  <c r="C2" i="3"/>
  <c r="A4" i="3"/>
  <c r="A3" i="3"/>
  <c r="B3" i="3" s="1"/>
  <c r="E13" i="2"/>
  <c r="B17" i="2"/>
  <c r="C17" i="2"/>
  <c r="D17" i="2" s="1"/>
  <c r="E17" i="2"/>
  <c r="H17" i="2" s="1"/>
  <c r="F17" i="2"/>
  <c r="G17" i="2"/>
  <c r="B18" i="2"/>
  <c r="F18" i="2" s="1"/>
  <c r="H18" i="2"/>
  <c r="B20" i="2"/>
  <c r="F20" i="2" s="1"/>
  <c r="H20" i="2"/>
  <c r="B22" i="2"/>
  <c r="F22" i="2" s="1"/>
  <c r="H22" i="2"/>
  <c r="B9" i="1"/>
  <c r="C9" i="1"/>
  <c r="B13" i="1"/>
  <c r="C13" i="1" s="1"/>
  <c r="F13" i="1"/>
  <c r="B14" i="1"/>
  <c r="C14" i="1" s="1"/>
  <c r="D14" i="1"/>
  <c r="F14" i="1"/>
  <c r="B15" i="1"/>
  <c r="C15" i="1" s="1"/>
  <c r="F15" i="1"/>
  <c r="B16" i="1"/>
  <c r="C16" i="1" s="1"/>
  <c r="D16" i="1"/>
  <c r="F16" i="1"/>
  <c r="B17" i="1"/>
  <c r="C17" i="1" s="1"/>
  <c r="F17" i="1"/>
  <c r="B18" i="1"/>
  <c r="C18" i="1" s="1"/>
  <c r="D18" i="1"/>
  <c r="F18" i="1"/>
  <c r="B19" i="1"/>
  <c r="C19" i="1" s="1"/>
  <c r="F19" i="1"/>
  <c r="B20" i="1"/>
  <c r="C20" i="1" s="1"/>
  <c r="D20" i="1"/>
  <c r="F20" i="1"/>
  <c r="B21" i="1"/>
  <c r="C21" i="1" s="1"/>
  <c r="F21" i="1"/>
  <c r="B22" i="1"/>
  <c r="C22" i="1" s="1"/>
  <c r="D22" i="1"/>
  <c r="F22" i="1"/>
  <c r="B23" i="1"/>
  <c r="C23" i="1" s="1"/>
  <c r="F23" i="1"/>
  <c r="B24" i="1"/>
  <c r="C24" i="1" s="1"/>
  <c r="D24" i="1"/>
  <c r="F24" i="1"/>
  <c r="B25" i="1"/>
  <c r="C25" i="1" s="1"/>
  <c r="B26" i="1"/>
  <c r="C26" i="1" s="1"/>
  <c r="D26" i="1"/>
  <c r="F26" i="1"/>
  <c r="B27" i="1"/>
  <c r="C27" i="1" s="1"/>
  <c r="G27" i="1" l="1"/>
  <c r="G25" i="1"/>
  <c r="G23" i="1"/>
  <c r="G21" i="1"/>
  <c r="D3" i="3"/>
  <c r="F27" i="1"/>
  <c r="F25" i="1"/>
  <c r="D27" i="1"/>
  <c r="E27" i="1" s="1"/>
  <c r="E26" i="1"/>
  <c r="G26" i="1"/>
  <c r="D25" i="1"/>
  <c r="E25" i="1" s="1"/>
  <c r="E24" i="1"/>
  <c r="G24" i="1"/>
  <c r="D23" i="1"/>
  <c r="E23" i="1" s="1"/>
  <c r="E22" i="1"/>
  <c r="G22" i="1"/>
  <c r="D21" i="1"/>
  <c r="E21" i="1" s="1"/>
  <c r="D19" i="1"/>
  <c r="D17" i="1"/>
  <c r="D15" i="1"/>
  <c r="D13" i="1"/>
  <c r="B16" i="4"/>
  <c r="A17" i="4"/>
  <c r="A4" i="5"/>
  <c r="D16" i="4"/>
  <c r="D2" i="5"/>
  <c r="B4" i="3"/>
  <c r="C4" i="3"/>
  <c r="A5" i="3"/>
  <c r="C16" i="4"/>
  <c r="D3" i="5"/>
  <c r="D17" i="4"/>
  <c r="D15" i="4"/>
  <c r="D13" i="4"/>
  <c r="D11" i="4"/>
  <c r="D9" i="4"/>
  <c r="D7" i="4"/>
  <c r="D5" i="4"/>
  <c r="D3" i="4"/>
  <c r="E9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F13" i="2"/>
  <c r="G18" i="2"/>
  <c r="C19" i="2"/>
  <c r="B19" i="2"/>
  <c r="F19" i="2" s="1"/>
  <c r="G20" i="2"/>
  <c r="C21" i="2"/>
  <c r="B21" i="2"/>
  <c r="F21" i="2" s="1"/>
  <c r="G22" i="2"/>
  <c r="C23" i="2"/>
  <c r="B23" i="2"/>
  <c r="F23" i="2" s="1"/>
  <c r="H24" i="2"/>
  <c r="C25" i="2"/>
  <c r="B25" i="2"/>
  <c r="F25" i="2" s="1"/>
  <c r="H26" i="2"/>
  <c r="C27" i="2"/>
  <c r="B27" i="2"/>
  <c r="F27" i="2" s="1"/>
  <c r="H28" i="2"/>
  <c r="C29" i="2"/>
  <c r="B29" i="2"/>
  <c r="F29" i="2" s="1"/>
  <c r="H30" i="2"/>
  <c r="K30" i="2" s="1"/>
  <c r="A5" i="8"/>
  <c r="B4" i="8"/>
  <c r="D4" i="8"/>
  <c r="A5" i="6"/>
  <c r="D4" i="6"/>
  <c r="B4" i="6"/>
  <c r="C4" i="8"/>
  <c r="C22" i="7"/>
  <c r="C21" i="7"/>
  <c r="C20" i="7"/>
  <c r="C19" i="7"/>
  <c r="C18" i="7"/>
  <c r="C17" i="7"/>
  <c r="C16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2" i="6"/>
  <c r="C3" i="6"/>
  <c r="A24" i="7"/>
  <c r="A23" i="7"/>
  <c r="A25" i="7" l="1"/>
  <c r="D24" i="7"/>
  <c r="B24" i="7"/>
  <c r="D23" i="7"/>
  <c r="B23" i="7"/>
  <c r="E4" i="6"/>
  <c r="F4" i="6" s="1"/>
  <c r="C4" i="6" s="1"/>
  <c r="D27" i="2"/>
  <c r="E27" i="2"/>
  <c r="H27" i="2" s="1"/>
  <c r="E23" i="2"/>
  <c r="D23" i="2"/>
  <c r="G23" i="2" s="1"/>
  <c r="E21" i="2"/>
  <c r="D21" i="2"/>
  <c r="G21" i="2" s="1"/>
  <c r="E19" i="2"/>
  <c r="D19" i="2"/>
  <c r="G19" i="2" s="1"/>
  <c r="B5" i="3"/>
  <c r="A6" i="3"/>
  <c r="C5" i="3"/>
  <c r="D4" i="3"/>
  <c r="C17" i="4"/>
  <c r="A18" i="4"/>
  <c r="B17" i="4"/>
  <c r="A6" i="6"/>
  <c r="D5" i="6"/>
  <c r="B5" i="6"/>
  <c r="E4" i="8"/>
  <c r="F4" i="8"/>
  <c r="A6" i="8"/>
  <c r="B5" i="8"/>
  <c r="D5" i="8"/>
  <c r="D29" i="2"/>
  <c r="G29" i="2" s="1"/>
  <c r="E29" i="2"/>
  <c r="D25" i="2"/>
  <c r="G25" i="2" s="1"/>
  <c r="E25" i="2"/>
  <c r="B4" i="5"/>
  <c r="C4" i="5"/>
  <c r="D4" i="5"/>
  <c r="A5" i="5"/>
  <c r="E5" i="8" l="1"/>
  <c r="F5" i="8" s="1"/>
  <c r="C5" i="8"/>
  <c r="B5" i="5"/>
  <c r="C5" i="5"/>
  <c r="A6" i="5"/>
  <c r="D5" i="5"/>
  <c r="H25" i="2"/>
  <c r="H29" i="2"/>
  <c r="A7" i="8"/>
  <c r="B6" i="8"/>
  <c r="D6" i="8"/>
  <c r="C6" i="8"/>
  <c r="E5" i="6"/>
  <c r="F5" i="6"/>
  <c r="C5" i="6" s="1"/>
  <c r="D5" i="3"/>
  <c r="H19" i="2"/>
  <c r="H21" i="2"/>
  <c r="H23" i="2"/>
  <c r="G27" i="2"/>
  <c r="A26" i="7"/>
  <c r="D25" i="7"/>
  <c r="B25" i="7"/>
  <c r="A7" i="6"/>
  <c r="D6" i="6"/>
  <c r="B6" i="6"/>
  <c r="B18" i="4"/>
  <c r="A19" i="4"/>
  <c r="D18" i="4"/>
  <c r="C18" i="4"/>
  <c r="B6" i="3"/>
  <c r="C6" i="3"/>
  <c r="A7" i="3"/>
  <c r="E23" i="7"/>
  <c r="F23" i="7" s="1"/>
  <c r="E24" i="7"/>
  <c r="F24" i="7" l="1"/>
  <c r="C24" i="7" s="1"/>
  <c r="B7" i="3"/>
  <c r="C7" i="3"/>
  <c r="A8" i="3"/>
  <c r="D6" i="3"/>
  <c r="A8" i="6"/>
  <c r="D7" i="6"/>
  <c r="B7" i="6"/>
  <c r="B6" i="5"/>
  <c r="C6" i="5"/>
  <c r="A7" i="5"/>
  <c r="D6" i="5"/>
  <c r="C23" i="7"/>
  <c r="C19" i="4"/>
  <c r="B19" i="4"/>
  <c r="A20" i="4"/>
  <c r="D19" i="4"/>
  <c r="E6" i="6"/>
  <c r="F6" i="6" s="1"/>
  <c r="C6" i="6" s="1"/>
  <c r="E25" i="7"/>
  <c r="A27" i="7"/>
  <c r="D26" i="7"/>
  <c r="B26" i="7"/>
  <c r="E6" i="8"/>
  <c r="F6" i="8"/>
  <c r="A8" i="8"/>
  <c r="B7" i="8"/>
  <c r="D7" i="8"/>
  <c r="A28" i="7" l="1"/>
  <c r="D27" i="7"/>
  <c r="B27" i="7"/>
  <c r="B20" i="4"/>
  <c r="A21" i="4"/>
  <c r="C20" i="4"/>
  <c r="D20" i="4"/>
  <c r="B7" i="5"/>
  <c r="A8" i="5"/>
  <c r="C7" i="5"/>
  <c r="D7" i="5"/>
  <c r="A9" i="6"/>
  <c r="D8" i="6"/>
  <c r="B8" i="6"/>
  <c r="B8" i="3"/>
  <c r="C8" i="3"/>
  <c r="A9" i="3"/>
  <c r="D7" i="3"/>
  <c r="E7" i="8"/>
  <c r="F7" i="8" s="1"/>
  <c r="C7" i="8"/>
  <c r="A9" i="8"/>
  <c r="B8" i="8"/>
  <c r="D8" i="8"/>
  <c r="E26" i="7"/>
  <c r="F26" i="7" s="1"/>
  <c r="F25" i="7"/>
  <c r="C25" i="7" s="1"/>
  <c r="E7" i="6"/>
  <c r="F7" i="6" s="1"/>
  <c r="C7" i="6" s="1"/>
  <c r="C8" i="8" l="1"/>
  <c r="E8" i="8"/>
  <c r="F8" i="8"/>
  <c r="A10" i="8"/>
  <c r="B9" i="8"/>
  <c r="C9" i="8"/>
  <c r="D9" i="8"/>
  <c r="B9" i="3"/>
  <c r="C9" i="3"/>
  <c r="A10" i="3"/>
  <c r="D8" i="3"/>
  <c r="A10" i="6"/>
  <c r="D9" i="6"/>
  <c r="B9" i="6"/>
  <c r="C26" i="7"/>
  <c r="E8" i="6"/>
  <c r="F8" i="6"/>
  <c r="C8" i="6" s="1"/>
  <c r="B8" i="5"/>
  <c r="C8" i="5"/>
  <c r="D8" i="5"/>
  <c r="A9" i="5"/>
  <c r="C21" i="4"/>
  <c r="A22" i="4"/>
  <c r="B21" i="4"/>
  <c r="A23" i="4"/>
  <c r="D21" i="4"/>
  <c r="E27" i="7"/>
  <c r="A29" i="7"/>
  <c r="D28" i="7"/>
  <c r="B28" i="7"/>
  <c r="A30" i="7" l="1"/>
  <c r="D29" i="7"/>
  <c r="B29" i="7"/>
  <c r="C23" i="4"/>
  <c r="A24" i="4"/>
  <c r="B23" i="4"/>
  <c r="D23" i="4" s="1"/>
  <c r="C22" i="4"/>
  <c r="B22" i="4"/>
  <c r="D22" i="4"/>
  <c r="B9" i="5"/>
  <c r="C9" i="5"/>
  <c r="A10" i="5"/>
  <c r="D9" i="5"/>
  <c r="A11" i="6"/>
  <c r="D10" i="6"/>
  <c r="B10" i="6"/>
  <c r="B10" i="3"/>
  <c r="C10" i="3"/>
  <c r="A11" i="3"/>
  <c r="D9" i="3"/>
  <c r="E28" i="7"/>
  <c r="F28" i="7"/>
  <c r="F27" i="7"/>
  <c r="C27" i="7" s="1"/>
  <c r="E9" i="6"/>
  <c r="F9" i="6" s="1"/>
  <c r="C9" i="6" s="1"/>
  <c r="E9" i="8"/>
  <c r="F9" i="8"/>
  <c r="A11" i="8"/>
  <c r="B10" i="8"/>
  <c r="C10" i="8" s="1"/>
  <c r="D10" i="8"/>
  <c r="E10" i="8" l="1"/>
  <c r="F10" i="8"/>
  <c r="A12" i="8"/>
  <c r="B11" i="8"/>
  <c r="C11" i="8" s="1"/>
  <c r="D11" i="8"/>
  <c r="C28" i="7"/>
  <c r="B11" i="3"/>
  <c r="C11" i="3"/>
  <c r="A12" i="3"/>
  <c r="D10" i="3"/>
  <c r="E10" i="6"/>
  <c r="F10" i="6"/>
  <c r="C10" i="6" s="1"/>
  <c r="B10" i="5"/>
  <c r="C10" i="5"/>
  <c r="A11" i="5"/>
  <c r="D10" i="5"/>
  <c r="C24" i="4"/>
  <c r="B24" i="4"/>
  <c r="A25" i="4"/>
  <c r="D24" i="4"/>
  <c r="E29" i="7"/>
  <c r="F29" i="7"/>
  <c r="A31" i="7"/>
  <c r="D30" i="7"/>
  <c r="B30" i="7"/>
  <c r="A12" i="6"/>
  <c r="D11" i="6"/>
  <c r="B11" i="6"/>
  <c r="E11" i="6" l="1"/>
  <c r="F11" i="6" s="1"/>
  <c r="C11" i="6" s="1"/>
  <c r="A13" i="6"/>
  <c r="D12" i="6"/>
  <c r="B12" i="6"/>
  <c r="A32" i="7"/>
  <c r="D31" i="7"/>
  <c r="B31" i="7"/>
  <c r="C29" i="7"/>
  <c r="C25" i="4"/>
  <c r="A26" i="4"/>
  <c r="B25" i="4"/>
  <c r="D25" i="4"/>
  <c r="B11" i="5"/>
  <c r="A12" i="5"/>
  <c r="C11" i="5"/>
  <c r="D11" i="5"/>
  <c r="A13" i="8"/>
  <c r="B12" i="8"/>
  <c r="D12" i="8"/>
  <c r="C12" i="8"/>
  <c r="E30" i="7"/>
  <c r="F30" i="7"/>
  <c r="B12" i="3"/>
  <c r="C12" i="3"/>
  <c r="A13" i="3"/>
  <c r="D11" i="3"/>
  <c r="E11" i="8"/>
  <c r="F11" i="8"/>
  <c r="C30" i="7" l="1"/>
  <c r="B12" i="5"/>
  <c r="C12" i="5"/>
  <c r="D12" i="5"/>
  <c r="A13" i="5"/>
  <c r="E31" i="7"/>
  <c r="F31" i="7"/>
  <c r="A33" i="7"/>
  <c r="D32" i="7"/>
  <c r="B32" i="7"/>
  <c r="A14" i="6"/>
  <c r="D13" i="6"/>
  <c r="B13" i="6"/>
  <c r="B13" i="3"/>
  <c r="A14" i="3"/>
  <c r="C13" i="3"/>
  <c r="D12" i="3"/>
  <c r="E12" i="8"/>
  <c r="F12" i="8" s="1"/>
  <c r="A14" i="8"/>
  <c r="B13" i="8"/>
  <c r="C13" i="8"/>
  <c r="D13" i="8"/>
  <c r="C26" i="4"/>
  <c r="B26" i="4"/>
  <c r="A27" i="4"/>
  <c r="D26" i="4"/>
  <c r="E12" i="6"/>
  <c r="F12" i="6" s="1"/>
  <c r="C12" i="6" s="1"/>
  <c r="E13" i="8" l="1"/>
  <c r="F13" i="8"/>
  <c r="A15" i="8"/>
  <c r="B14" i="8"/>
  <c r="C14" i="8" s="1"/>
  <c r="D14" i="8"/>
  <c r="B14" i="3"/>
  <c r="C14" i="3"/>
  <c r="A15" i="3"/>
  <c r="A15" i="6"/>
  <c r="D14" i="6"/>
  <c r="B14" i="6"/>
  <c r="A34" i="7"/>
  <c r="D33" i="7"/>
  <c r="A35" i="7"/>
  <c r="B33" i="7"/>
  <c r="C31" i="7"/>
  <c r="C27" i="4"/>
  <c r="A28" i="4"/>
  <c r="B27" i="4"/>
  <c r="D27" i="4"/>
  <c r="D13" i="3"/>
  <c r="E13" i="6"/>
  <c r="F13" i="6" s="1"/>
  <c r="C13" i="6" s="1"/>
  <c r="E32" i="7"/>
  <c r="B13" i="5"/>
  <c r="C13" i="5"/>
  <c r="A14" i="5"/>
  <c r="D13" i="5"/>
  <c r="B14" i="5" l="1"/>
  <c r="C14" i="5"/>
  <c r="A15" i="5"/>
  <c r="D14" i="5"/>
  <c r="F32" i="7"/>
  <c r="C32" i="7" s="1"/>
  <c r="D35" i="7"/>
  <c r="A36" i="7"/>
  <c r="B35" i="7"/>
  <c r="E14" i="6"/>
  <c r="F14" i="6"/>
  <c r="C14" i="6" s="1"/>
  <c r="E14" i="8"/>
  <c r="F14" i="8" s="1"/>
  <c r="A16" i="8"/>
  <c r="B15" i="8"/>
  <c r="D15" i="8"/>
  <c r="C15" i="8"/>
  <c r="C28" i="4"/>
  <c r="B28" i="4"/>
  <c r="A29" i="4"/>
  <c r="D28" i="4"/>
  <c r="E33" i="7"/>
  <c r="D34" i="7"/>
  <c r="B34" i="7"/>
  <c r="A16" i="6"/>
  <c r="D15" i="6"/>
  <c r="B15" i="6"/>
  <c r="B15" i="3"/>
  <c r="C15" i="3"/>
  <c r="A16" i="3"/>
  <c r="D14" i="3"/>
  <c r="A17" i="6" l="1"/>
  <c r="D16" i="6"/>
  <c r="B16" i="6"/>
  <c r="E34" i="7"/>
  <c r="F34" i="7"/>
  <c r="E15" i="8"/>
  <c r="F15" i="8" s="1"/>
  <c r="E35" i="7"/>
  <c r="F35" i="7" s="1"/>
  <c r="C16" i="3"/>
  <c r="B16" i="3"/>
  <c r="A17" i="3"/>
  <c r="D15" i="3"/>
  <c r="E15" i="6"/>
  <c r="F15" i="6"/>
  <c r="C15" i="6" s="1"/>
  <c r="F33" i="7"/>
  <c r="C33" i="7" s="1"/>
  <c r="C29" i="4"/>
  <c r="A30" i="4"/>
  <c r="B29" i="4"/>
  <c r="D29" i="4"/>
  <c r="A17" i="8"/>
  <c r="B16" i="8"/>
  <c r="D16" i="8"/>
  <c r="C16" i="8"/>
  <c r="B36" i="7"/>
  <c r="D36" i="7"/>
  <c r="A37" i="7"/>
  <c r="B15" i="5"/>
  <c r="A16" i="5"/>
  <c r="D16" i="5"/>
  <c r="C15" i="5"/>
  <c r="D15" i="5"/>
  <c r="E16" i="8" l="1"/>
  <c r="F16" i="8"/>
  <c r="A18" i="8"/>
  <c r="B17" i="8"/>
  <c r="C17" i="8"/>
  <c r="D17" i="8"/>
  <c r="C30" i="4"/>
  <c r="B30" i="4"/>
  <c r="A31" i="4"/>
  <c r="D30" i="4"/>
  <c r="B17" i="3"/>
  <c r="A18" i="3"/>
  <c r="C17" i="3"/>
  <c r="A18" i="6"/>
  <c r="D17" i="6"/>
  <c r="B17" i="6"/>
  <c r="E36" i="7"/>
  <c r="F36" i="7" s="1"/>
  <c r="C16" i="5"/>
  <c r="B16" i="5"/>
  <c r="A17" i="5"/>
  <c r="D37" i="7"/>
  <c r="A38" i="7"/>
  <c r="B37" i="7"/>
  <c r="D16" i="3"/>
  <c r="C35" i="7"/>
  <c r="C34" i="7"/>
  <c r="E16" i="6"/>
  <c r="F16" i="6" s="1"/>
  <c r="C16" i="6" s="1"/>
  <c r="D38" i="7" l="1"/>
  <c r="A39" i="7"/>
  <c r="B38" i="7"/>
  <c r="E37" i="7"/>
  <c r="F37" i="7" s="1"/>
  <c r="A19" i="6"/>
  <c r="D18" i="6"/>
  <c r="B18" i="6"/>
  <c r="C18" i="3"/>
  <c r="B18" i="3"/>
  <c r="A19" i="3"/>
  <c r="E17" i="8"/>
  <c r="F17" i="8" s="1"/>
  <c r="A19" i="8"/>
  <c r="B18" i="8"/>
  <c r="D18" i="8"/>
  <c r="C18" i="8"/>
  <c r="B17" i="5"/>
  <c r="A18" i="5"/>
  <c r="C17" i="5"/>
  <c r="D17" i="5"/>
  <c r="C36" i="7"/>
  <c r="E17" i="6"/>
  <c r="F17" i="6"/>
  <c r="C17" i="6" s="1"/>
  <c r="D17" i="3"/>
  <c r="C31" i="4"/>
  <c r="A32" i="4"/>
  <c r="B31" i="4"/>
  <c r="D31" i="4" s="1"/>
  <c r="C32" i="4" l="1"/>
  <c r="B32" i="4"/>
  <c r="A33" i="4"/>
  <c r="D32" i="4"/>
  <c r="C18" i="5"/>
  <c r="A19" i="5"/>
  <c r="B18" i="5"/>
  <c r="D18" i="5"/>
  <c r="D18" i="3"/>
  <c r="A20" i="6"/>
  <c r="D19" i="6"/>
  <c r="B19" i="6"/>
  <c r="D39" i="7"/>
  <c r="A40" i="7"/>
  <c r="B39" i="7"/>
  <c r="E18" i="8"/>
  <c r="F18" i="8"/>
  <c r="A20" i="8"/>
  <c r="B19" i="8"/>
  <c r="C19" i="8" s="1"/>
  <c r="D19" i="8"/>
  <c r="B19" i="3"/>
  <c r="A20" i="3"/>
  <c r="C19" i="3"/>
  <c r="F18" i="6"/>
  <c r="C18" i="6" s="1"/>
  <c r="E18" i="6"/>
  <c r="C37" i="7"/>
  <c r="E38" i="7"/>
  <c r="F38" i="7" s="1"/>
  <c r="D19" i="3" l="1"/>
  <c r="C20" i="3"/>
  <c r="B20" i="3"/>
  <c r="A21" i="3"/>
  <c r="E19" i="8"/>
  <c r="F19" i="8" s="1"/>
  <c r="A21" i="8"/>
  <c r="B20" i="8"/>
  <c r="D20" i="8"/>
  <c r="C20" i="8"/>
  <c r="B40" i="7"/>
  <c r="A41" i="7"/>
  <c r="D40" i="7"/>
  <c r="A21" i="6"/>
  <c r="D20" i="6"/>
  <c r="B20" i="6"/>
  <c r="C33" i="4"/>
  <c r="A34" i="4"/>
  <c r="B33" i="4"/>
  <c r="D33" i="4" s="1"/>
  <c r="C38" i="7"/>
  <c r="E39" i="7"/>
  <c r="F39" i="7" s="1"/>
  <c r="E19" i="6"/>
  <c r="F19" i="6" s="1"/>
  <c r="C19" i="6" s="1"/>
  <c r="B19" i="5"/>
  <c r="A20" i="5"/>
  <c r="C19" i="5"/>
  <c r="D19" i="5"/>
  <c r="C34" i="4" l="1"/>
  <c r="B34" i="4"/>
  <c r="A35" i="4"/>
  <c r="D34" i="4"/>
  <c r="A22" i="6"/>
  <c r="D21" i="6"/>
  <c r="B21" i="6"/>
  <c r="E40" i="7"/>
  <c r="F40" i="7"/>
  <c r="B21" i="3"/>
  <c r="A22" i="3"/>
  <c r="A23" i="3"/>
  <c r="C21" i="3"/>
  <c r="C20" i="5"/>
  <c r="B20" i="5"/>
  <c r="A21" i="5"/>
  <c r="D20" i="5"/>
  <c r="C39" i="7"/>
  <c r="F20" i="6"/>
  <c r="C20" i="6" s="1"/>
  <c r="E20" i="6"/>
  <c r="D41" i="7"/>
  <c r="A42" i="7"/>
  <c r="B41" i="7"/>
  <c r="E20" i="8"/>
  <c r="F20" i="8"/>
  <c r="A22" i="8"/>
  <c r="B21" i="8"/>
  <c r="D21" i="8"/>
  <c r="D20" i="3"/>
  <c r="E41" i="7" l="1"/>
  <c r="F41" i="7" s="1"/>
  <c r="B23" i="3"/>
  <c r="C23" i="3"/>
  <c r="A24" i="3"/>
  <c r="D21" i="3"/>
  <c r="A24" i="6"/>
  <c r="A23" i="6"/>
  <c r="D22" i="6"/>
  <c r="B22" i="6"/>
  <c r="C21" i="8"/>
  <c r="E21" i="8"/>
  <c r="F21" i="8" s="1"/>
  <c r="A24" i="8"/>
  <c r="A23" i="8"/>
  <c r="B22" i="8"/>
  <c r="D22" i="8"/>
  <c r="C22" i="8"/>
  <c r="D42" i="7"/>
  <c r="A43" i="7"/>
  <c r="B42" i="7"/>
  <c r="B21" i="5"/>
  <c r="A22" i="5"/>
  <c r="A23" i="5"/>
  <c r="C21" i="5"/>
  <c r="D21" i="5"/>
  <c r="C22" i="3"/>
  <c r="B22" i="3"/>
  <c r="C40" i="7"/>
  <c r="E21" i="6"/>
  <c r="F21" i="6" s="1"/>
  <c r="C21" i="6" s="1"/>
  <c r="C35" i="4"/>
  <c r="A36" i="4"/>
  <c r="B35" i="4"/>
  <c r="D35" i="4"/>
  <c r="D22" i="3" l="1"/>
  <c r="A24" i="5"/>
  <c r="B23" i="5"/>
  <c r="C23" i="5"/>
  <c r="E42" i="7"/>
  <c r="F42" i="7" s="1"/>
  <c r="E22" i="8"/>
  <c r="F22" i="8" s="1"/>
  <c r="B23" i="8"/>
  <c r="C23" i="8" s="1"/>
  <c r="D23" i="8"/>
  <c r="D23" i="6"/>
  <c r="B23" i="6"/>
  <c r="C36" i="4"/>
  <c r="B36" i="4"/>
  <c r="A37" i="4"/>
  <c r="D36" i="4"/>
  <c r="B22" i="5"/>
  <c r="C22" i="5"/>
  <c r="D22" i="5"/>
  <c r="D43" i="7"/>
  <c r="A44" i="7"/>
  <c r="B43" i="7"/>
  <c r="A25" i="8"/>
  <c r="B24" i="8"/>
  <c r="C24" i="8" s="1"/>
  <c r="D24" i="8"/>
  <c r="F22" i="6"/>
  <c r="C22" i="6" s="1"/>
  <c r="E22" i="6"/>
  <c r="A25" i="6"/>
  <c r="D24" i="6"/>
  <c r="B24" i="6"/>
  <c r="C24" i="3"/>
  <c r="A25" i="3"/>
  <c r="B24" i="3"/>
  <c r="D23" i="3"/>
  <c r="C41" i="7"/>
  <c r="D24" i="3" l="1"/>
  <c r="A26" i="6"/>
  <c r="D25" i="6"/>
  <c r="B25" i="6"/>
  <c r="B25" i="3"/>
  <c r="C25" i="3"/>
  <c r="A26" i="3"/>
  <c r="F24" i="6"/>
  <c r="C24" i="6" s="1"/>
  <c r="E24" i="6"/>
  <c r="E24" i="8"/>
  <c r="F24" i="8" s="1"/>
  <c r="A26" i="8"/>
  <c r="B25" i="8"/>
  <c r="C25" i="8"/>
  <c r="D25" i="8"/>
  <c r="B44" i="7"/>
  <c r="D44" i="7"/>
  <c r="A47" i="7"/>
  <c r="A46" i="7"/>
  <c r="C37" i="4"/>
  <c r="A38" i="4"/>
  <c r="B37" i="4"/>
  <c r="E23" i="6"/>
  <c r="F23" i="6"/>
  <c r="C23" i="6" s="1"/>
  <c r="E23" i="8"/>
  <c r="F23" i="8"/>
  <c r="D23" i="5"/>
  <c r="E43" i="7"/>
  <c r="C42" i="7"/>
  <c r="A25" i="5"/>
  <c r="B24" i="5"/>
  <c r="C24" i="5"/>
  <c r="D24" i="5"/>
  <c r="E44" i="7" l="1"/>
  <c r="B46" i="7"/>
  <c r="B47" i="7"/>
  <c r="E25" i="8"/>
  <c r="F25" i="8"/>
  <c r="A27" i="8"/>
  <c r="B26" i="8"/>
  <c r="D26" i="8"/>
  <c r="E25" i="6"/>
  <c r="F25" i="6" s="1"/>
  <c r="C25" i="6" s="1"/>
  <c r="A26" i="5"/>
  <c r="B25" i="5"/>
  <c r="C25" i="5"/>
  <c r="D25" i="5"/>
  <c r="F43" i="7"/>
  <c r="C43" i="7" s="1"/>
  <c r="D37" i="4"/>
  <c r="C38" i="4"/>
  <c r="B38" i="4"/>
  <c r="A39" i="4"/>
  <c r="D38" i="4"/>
  <c r="C26" i="3"/>
  <c r="A27" i="3"/>
  <c r="B26" i="3"/>
  <c r="D25" i="3"/>
  <c r="A27" i="6"/>
  <c r="D26" i="6"/>
  <c r="B26" i="6"/>
  <c r="F26" i="6" l="1"/>
  <c r="C26" i="6" s="1"/>
  <c r="E26" i="6"/>
  <c r="B27" i="3"/>
  <c r="C27" i="3"/>
  <c r="A28" i="3"/>
  <c r="C39" i="4"/>
  <c r="A40" i="4"/>
  <c r="B39" i="4"/>
  <c r="D39" i="4"/>
  <c r="A27" i="5"/>
  <c r="B26" i="5"/>
  <c r="C26" i="5"/>
  <c r="D26" i="5"/>
  <c r="C44" i="7"/>
  <c r="C46" i="7" s="1"/>
  <c r="C47" i="7" s="1"/>
  <c r="A28" i="6"/>
  <c r="D27" i="6"/>
  <c r="B27" i="6"/>
  <c r="D26" i="3"/>
  <c r="C26" i="8"/>
  <c r="E26" i="8"/>
  <c r="F26" i="8" s="1"/>
  <c r="A28" i="8"/>
  <c r="B27" i="8"/>
  <c r="C27" i="8"/>
  <c r="D27" i="8"/>
  <c r="F44" i="7"/>
  <c r="G3" i="7" l="1"/>
  <c r="G5" i="7"/>
  <c r="G7" i="7"/>
  <c r="G9" i="7"/>
  <c r="G11" i="7"/>
  <c r="G13" i="7"/>
  <c r="G15" i="7"/>
  <c r="G17" i="7"/>
  <c r="G19" i="7"/>
  <c r="G21" i="7"/>
  <c r="G4" i="7"/>
  <c r="G8" i="7"/>
  <c r="G12" i="7"/>
  <c r="G16" i="7"/>
  <c r="G20" i="7"/>
  <c r="G6" i="7"/>
  <c r="G14" i="7"/>
  <c r="G22" i="7"/>
  <c r="G2" i="7"/>
  <c r="G10" i="7"/>
  <c r="G18" i="7"/>
  <c r="H19" i="7"/>
  <c r="H15" i="7"/>
  <c r="H11" i="7"/>
  <c r="H7" i="7"/>
  <c r="H3" i="7"/>
  <c r="H20" i="7"/>
  <c r="H16" i="7"/>
  <c r="H12" i="7"/>
  <c r="H8" i="7"/>
  <c r="H4" i="7"/>
  <c r="H21" i="7"/>
  <c r="H17" i="7"/>
  <c r="H13" i="7"/>
  <c r="H9" i="7"/>
  <c r="H5" i="7"/>
  <c r="H22" i="7"/>
  <c r="H18" i="7"/>
  <c r="H14" i="7"/>
  <c r="H10" i="7"/>
  <c r="H6" i="7"/>
  <c r="H2" i="7"/>
  <c r="G24" i="7"/>
  <c r="G23" i="7"/>
  <c r="H24" i="7"/>
  <c r="G25" i="7"/>
  <c r="H23" i="7"/>
  <c r="G26" i="7"/>
  <c r="H25" i="7"/>
  <c r="H26" i="7"/>
  <c r="G27" i="7"/>
  <c r="G28" i="7"/>
  <c r="H27" i="7"/>
  <c r="G29" i="7"/>
  <c r="H28" i="7"/>
  <c r="G30" i="7"/>
  <c r="H29" i="7"/>
  <c r="H30" i="7"/>
  <c r="G31" i="7"/>
  <c r="G32" i="7"/>
  <c r="H31" i="7"/>
  <c r="H32" i="7"/>
  <c r="G33" i="7"/>
  <c r="H33" i="7"/>
  <c r="G35" i="7"/>
  <c r="G34" i="7"/>
  <c r="H34" i="7"/>
  <c r="H35" i="7"/>
  <c r="G36" i="7"/>
  <c r="H36" i="7"/>
  <c r="G37" i="7"/>
  <c r="G38" i="7"/>
  <c r="H37" i="7"/>
  <c r="H38" i="7"/>
  <c r="G39" i="7"/>
  <c r="H39" i="7"/>
  <c r="G40" i="7"/>
  <c r="G41" i="7"/>
  <c r="H40" i="7"/>
  <c r="H41" i="7"/>
  <c r="G42" i="7"/>
  <c r="G43" i="7"/>
  <c r="H42" i="7"/>
  <c r="H43" i="7"/>
  <c r="G44" i="7"/>
  <c r="H44" i="7"/>
  <c r="E27" i="8"/>
  <c r="F27" i="8" s="1"/>
  <c r="E27" i="6"/>
  <c r="F27" i="6" s="1"/>
  <c r="C27" i="6" s="1"/>
  <c r="A28" i="5"/>
  <c r="B27" i="5"/>
  <c r="C27" i="5"/>
  <c r="D27" i="5"/>
  <c r="A29" i="8"/>
  <c r="B28" i="8"/>
  <c r="C28" i="8" s="1"/>
  <c r="D28" i="8"/>
  <c r="A29" i="6"/>
  <c r="D28" i="6"/>
  <c r="B28" i="6"/>
  <c r="B40" i="4"/>
  <c r="C40" i="4"/>
  <c r="D40" i="4"/>
  <c r="D42" i="4" s="1"/>
  <c r="D43" i="4" s="1"/>
  <c r="F39" i="4" s="1"/>
  <c r="C28" i="3"/>
  <c r="A29" i="3"/>
  <c r="B28" i="3"/>
  <c r="D27" i="3"/>
  <c r="B29" i="3" l="1"/>
  <c r="C29" i="3"/>
  <c r="A30" i="3"/>
  <c r="D28" i="3"/>
  <c r="F40" i="4"/>
  <c r="C42" i="4"/>
  <c r="C43" i="4"/>
  <c r="A30" i="6"/>
  <c r="D29" i="6"/>
  <c r="B29" i="6"/>
  <c r="E28" i="8"/>
  <c r="F28" i="8" s="1"/>
  <c r="A30" i="8"/>
  <c r="B29" i="8"/>
  <c r="C29" i="8"/>
  <c r="D29" i="8"/>
  <c r="H47" i="7"/>
  <c r="J3" i="7" s="1"/>
  <c r="H46" i="7"/>
  <c r="F15" i="4"/>
  <c r="E14" i="4"/>
  <c r="F13" i="4"/>
  <c r="E12" i="4"/>
  <c r="F11" i="4"/>
  <c r="E10" i="4"/>
  <c r="F9" i="4"/>
  <c r="E8" i="4"/>
  <c r="F7" i="4"/>
  <c r="E6" i="4"/>
  <c r="F5" i="4"/>
  <c r="E4" i="4"/>
  <c r="F3" i="4"/>
  <c r="E2" i="4"/>
  <c r="E15" i="4"/>
  <c r="E11" i="4"/>
  <c r="E7" i="4"/>
  <c r="E3" i="4"/>
  <c r="F4" i="4"/>
  <c r="F8" i="4"/>
  <c r="F12" i="4"/>
  <c r="E13" i="4"/>
  <c r="E9" i="4"/>
  <c r="E5" i="4"/>
  <c r="F2" i="4"/>
  <c r="F6" i="4"/>
  <c r="F10" i="4"/>
  <c r="F14" i="4"/>
  <c r="F16" i="4"/>
  <c r="E16" i="4"/>
  <c r="E17" i="4"/>
  <c r="F17" i="4"/>
  <c r="E18" i="4"/>
  <c r="F18" i="4"/>
  <c r="F19" i="4"/>
  <c r="E19" i="4"/>
  <c r="F20" i="4"/>
  <c r="E20" i="4"/>
  <c r="E21" i="4"/>
  <c r="F21" i="4"/>
  <c r="E22" i="4"/>
  <c r="E23" i="4"/>
  <c r="F22" i="4"/>
  <c r="F23" i="4"/>
  <c r="F24" i="4"/>
  <c r="E24" i="4"/>
  <c r="F25" i="4"/>
  <c r="E25" i="4"/>
  <c r="E26" i="4"/>
  <c r="F26" i="4"/>
  <c r="F27" i="4"/>
  <c r="E27" i="4"/>
  <c r="F28" i="4"/>
  <c r="E28" i="4"/>
  <c r="F29" i="4"/>
  <c r="E29" i="4"/>
  <c r="E30" i="4"/>
  <c r="F30" i="4"/>
  <c r="F31" i="4"/>
  <c r="E31" i="4"/>
  <c r="F32" i="4"/>
  <c r="E32" i="4"/>
  <c r="F33" i="4"/>
  <c r="E33" i="4"/>
  <c r="E34" i="4"/>
  <c r="F34" i="4"/>
  <c r="E35" i="4"/>
  <c r="F35" i="4"/>
  <c r="F36" i="4"/>
  <c r="E36" i="4"/>
  <c r="F37" i="4"/>
  <c r="E37" i="4"/>
  <c r="F38" i="4"/>
  <c r="E38" i="4"/>
  <c r="E40" i="4"/>
  <c r="B42" i="4"/>
  <c r="B43" i="4"/>
  <c r="E28" i="6"/>
  <c r="F28" i="6" s="1"/>
  <c r="C28" i="6" s="1"/>
  <c r="E39" i="4"/>
  <c r="A29" i="5"/>
  <c r="B28" i="5"/>
  <c r="C28" i="5"/>
  <c r="D28" i="5"/>
  <c r="G46" i="7"/>
  <c r="I2" i="7" s="1"/>
  <c r="G47" i="7"/>
  <c r="A30" i="5" l="1"/>
  <c r="B29" i="5"/>
  <c r="C29" i="5"/>
  <c r="D29" i="5"/>
  <c r="F43" i="4"/>
  <c r="F42" i="4"/>
  <c r="J2" i="4" s="1"/>
  <c r="I3" i="7"/>
  <c r="E43" i="4"/>
  <c r="E42" i="4"/>
  <c r="I2" i="4" s="1"/>
  <c r="J2" i="7"/>
  <c r="E29" i="6"/>
  <c r="F29" i="6" s="1"/>
  <c r="C29" i="6" s="1"/>
  <c r="E29" i="8"/>
  <c r="F29" i="8" s="1"/>
  <c r="A31" i="8"/>
  <c r="B30" i="8"/>
  <c r="D30" i="8"/>
  <c r="C30" i="8"/>
  <c r="A31" i="6"/>
  <c r="D30" i="6"/>
  <c r="B30" i="6"/>
  <c r="C30" i="3"/>
  <c r="A31" i="3"/>
  <c r="B30" i="3"/>
  <c r="D29" i="3"/>
  <c r="D30" i="3" l="1"/>
  <c r="B31" i="3"/>
  <c r="C31" i="3"/>
  <c r="A32" i="3"/>
  <c r="F30" i="6"/>
  <c r="C30" i="6" s="1"/>
  <c r="E30" i="6"/>
  <c r="I3" i="4"/>
  <c r="J3" i="4"/>
  <c r="A31" i="5"/>
  <c r="B30" i="5"/>
  <c r="C30" i="5"/>
  <c r="D30" i="5"/>
  <c r="A32" i="6"/>
  <c r="D31" i="6"/>
  <c r="B31" i="6"/>
  <c r="E30" i="8"/>
  <c r="F30" i="8" s="1"/>
  <c r="A32" i="8"/>
  <c r="B31" i="8"/>
  <c r="C31" i="8"/>
  <c r="D31" i="8"/>
  <c r="A33" i="6" l="1"/>
  <c r="D32" i="6"/>
  <c r="B32" i="6"/>
  <c r="A32" i="5"/>
  <c r="B31" i="5"/>
  <c r="C31" i="5"/>
  <c r="D31" i="5"/>
  <c r="A33" i="8"/>
  <c r="B32" i="8"/>
  <c r="C32" i="8" s="1"/>
  <c r="D32" i="8"/>
  <c r="E31" i="8"/>
  <c r="F31" i="8" s="1"/>
  <c r="E31" i="6"/>
  <c r="F31" i="6" s="1"/>
  <c r="C31" i="6" s="1"/>
  <c r="C32" i="3"/>
  <c r="A33" i="3"/>
  <c r="B32" i="3"/>
  <c r="D31" i="3"/>
  <c r="B33" i="3" l="1"/>
  <c r="C33" i="3"/>
  <c r="A34" i="3"/>
  <c r="E32" i="8"/>
  <c r="F32" i="8"/>
  <c r="A34" i="8"/>
  <c r="A35" i="8"/>
  <c r="B33" i="8"/>
  <c r="C33" i="8"/>
  <c r="D33" i="8"/>
  <c r="A34" i="6"/>
  <c r="D33" i="6"/>
  <c r="A35" i="6"/>
  <c r="B33" i="6"/>
  <c r="D32" i="3"/>
  <c r="A33" i="5"/>
  <c r="B32" i="5"/>
  <c r="C32" i="5"/>
  <c r="D32" i="5"/>
  <c r="F32" i="6"/>
  <c r="C32" i="6" s="1"/>
  <c r="E32" i="6"/>
  <c r="A34" i="5" l="1"/>
  <c r="B33" i="5"/>
  <c r="C33" i="5"/>
  <c r="D33" i="5"/>
  <c r="F33" i="6"/>
  <c r="C33" i="6" s="1"/>
  <c r="E33" i="6"/>
  <c r="E33" i="8"/>
  <c r="F33" i="8" s="1"/>
  <c r="A36" i="8"/>
  <c r="D35" i="8"/>
  <c r="B35" i="8"/>
  <c r="C34" i="3"/>
  <c r="A35" i="3"/>
  <c r="B34" i="3"/>
  <c r="D33" i="3"/>
  <c r="B35" i="6"/>
  <c r="D35" i="6"/>
  <c r="A36" i="6"/>
  <c r="D34" i="6"/>
  <c r="B34" i="6"/>
  <c r="B34" i="8"/>
  <c r="D34" i="8"/>
  <c r="C34" i="8"/>
  <c r="E34" i="8" l="1"/>
  <c r="F34" i="8" s="1"/>
  <c r="E34" i="6"/>
  <c r="F34" i="6"/>
  <c r="C34" i="6" s="1"/>
  <c r="D36" i="6"/>
  <c r="A37" i="6"/>
  <c r="B36" i="6"/>
  <c r="D34" i="3"/>
  <c r="B36" i="8"/>
  <c r="A37" i="8"/>
  <c r="D36" i="8"/>
  <c r="C36" i="8"/>
  <c r="A35" i="5"/>
  <c r="B34" i="5"/>
  <c r="C34" i="5"/>
  <c r="D34" i="5"/>
  <c r="E35" i="6"/>
  <c r="F35" i="6"/>
  <c r="C35" i="6" s="1"/>
  <c r="B35" i="3"/>
  <c r="C35" i="3"/>
  <c r="A36" i="3"/>
  <c r="E35" i="8"/>
  <c r="F35" i="8"/>
  <c r="C35" i="8"/>
  <c r="A36" i="5" l="1"/>
  <c r="B35" i="5"/>
  <c r="C35" i="5"/>
  <c r="D35" i="5"/>
  <c r="E36" i="8"/>
  <c r="F36" i="8" s="1"/>
  <c r="F36" i="6"/>
  <c r="C36" i="6" s="1"/>
  <c r="E36" i="6"/>
  <c r="C36" i="3"/>
  <c r="A37" i="3"/>
  <c r="B36" i="3"/>
  <c r="D35" i="3"/>
  <c r="C37" i="8"/>
  <c r="B37" i="8"/>
  <c r="A38" i="8"/>
  <c r="D37" i="8"/>
  <c r="B37" i="6"/>
  <c r="D37" i="6"/>
  <c r="A38" i="6"/>
  <c r="E37" i="6" l="1"/>
  <c r="F37" i="6" s="1"/>
  <c r="C37" i="6" s="1"/>
  <c r="B38" i="8"/>
  <c r="A39" i="8"/>
  <c r="D38" i="8"/>
  <c r="C38" i="8"/>
  <c r="B37" i="3"/>
  <c r="C37" i="3"/>
  <c r="A38" i="3"/>
  <c r="D38" i="6"/>
  <c r="A39" i="6"/>
  <c r="B38" i="6"/>
  <c r="E37" i="8"/>
  <c r="F37" i="8"/>
  <c r="D36" i="3"/>
  <c r="A37" i="5"/>
  <c r="B36" i="5"/>
  <c r="D36" i="5" s="1"/>
  <c r="C36" i="5"/>
  <c r="A38" i="5" l="1"/>
  <c r="B37" i="5"/>
  <c r="C37" i="5"/>
  <c r="D37" i="5"/>
  <c r="F38" i="6"/>
  <c r="C38" i="6" s="1"/>
  <c r="E38" i="6"/>
  <c r="C38" i="3"/>
  <c r="A39" i="3"/>
  <c r="B38" i="3"/>
  <c r="D37" i="3"/>
  <c r="E38" i="8"/>
  <c r="F38" i="8"/>
  <c r="B39" i="6"/>
  <c r="D39" i="6"/>
  <c r="A40" i="6"/>
  <c r="A40" i="8"/>
  <c r="D39" i="8"/>
  <c r="B39" i="8"/>
  <c r="C39" i="8" l="1"/>
  <c r="E39" i="6"/>
  <c r="F39" i="6"/>
  <c r="C39" i="6" s="1"/>
  <c r="D38" i="3"/>
  <c r="B40" i="8"/>
  <c r="A41" i="8"/>
  <c r="D40" i="8"/>
  <c r="C40" i="8"/>
  <c r="D40" i="6"/>
  <c r="A41" i="6"/>
  <c r="B40" i="6"/>
  <c r="B39" i="3"/>
  <c r="C39" i="3"/>
  <c r="A40" i="3"/>
  <c r="A39" i="5"/>
  <c r="B38" i="5"/>
  <c r="C38" i="5"/>
  <c r="E39" i="8"/>
  <c r="F39" i="8"/>
  <c r="E40" i="6" l="1"/>
  <c r="F40" i="6" s="1"/>
  <c r="C40" i="6" s="1"/>
  <c r="B41" i="8"/>
  <c r="D41" i="8"/>
  <c r="A42" i="8"/>
  <c r="D38" i="5"/>
  <c r="A40" i="5"/>
  <c r="B39" i="5"/>
  <c r="D39" i="5" s="1"/>
  <c r="C39" i="5"/>
  <c r="C40" i="3"/>
  <c r="B40" i="3"/>
  <c r="D39" i="3"/>
  <c r="B41" i="6"/>
  <c r="A42" i="6"/>
  <c r="D41" i="6"/>
  <c r="E40" i="8"/>
  <c r="F40" i="8"/>
  <c r="E41" i="6" l="1"/>
  <c r="F41" i="6" s="1"/>
  <c r="C41" i="6" s="1"/>
  <c r="D40" i="3"/>
  <c r="D42" i="3" s="1"/>
  <c r="D43" i="3" s="1"/>
  <c r="E40" i="3" s="1"/>
  <c r="B42" i="3"/>
  <c r="B43" i="3"/>
  <c r="E41" i="8"/>
  <c r="F41" i="8" s="1"/>
  <c r="D42" i="6"/>
  <c r="A43" i="6"/>
  <c r="B42" i="6"/>
  <c r="C42" i="3"/>
  <c r="C43" i="3"/>
  <c r="F39" i="5"/>
  <c r="B40" i="5"/>
  <c r="C40" i="5"/>
  <c r="D40" i="5"/>
  <c r="D42" i="5" s="1"/>
  <c r="D43" i="5" s="1"/>
  <c r="B42" i="8"/>
  <c r="A43" i="8"/>
  <c r="D42" i="8"/>
  <c r="C41" i="8"/>
  <c r="C42" i="8" l="1"/>
  <c r="A44" i="8"/>
  <c r="D43" i="8"/>
  <c r="B43" i="8"/>
  <c r="E2" i="5"/>
  <c r="E3" i="5"/>
  <c r="F2" i="5"/>
  <c r="F3" i="5"/>
  <c r="E4" i="5"/>
  <c r="F4" i="5"/>
  <c r="F5" i="5"/>
  <c r="E5" i="5"/>
  <c r="E6" i="5"/>
  <c r="F6" i="5"/>
  <c r="E7" i="5"/>
  <c r="F7" i="5"/>
  <c r="F8" i="5"/>
  <c r="E8" i="5"/>
  <c r="F9" i="5"/>
  <c r="E9" i="5"/>
  <c r="E10" i="5"/>
  <c r="F10" i="5"/>
  <c r="F11" i="5"/>
  <c r="E11" i="5"/>
  <c r="E12" i="5"/>
  <c r="F12" i="5"/>
  <c r="F13" i="5"/>
  <c r="E13" i="5"/>
  <c r="E14" i="5"/>
  <c r="F14" i="5"/>
  <c r="F15" i="5"/>
  <c r="E15" i="5"/>
  <c r="F16" i="5"/>
  <c r="E16" i="5"/>
  <c r="F17" i="5"/>
  <c r="E17" i="5"/>
  <c r="E18" i="5"/>
  <c r="F18" i="5"/>
  <c r="F19" i="5"/>
  <c r="E19" i="5"/>
  <c r="F20" i="5"/>
  <c r="E20" i="5"/>
  <c r="E21" i="5"/>
  <c r="F21" i="5"/>
  <c r="E22" i="5"/>
  <c r="F22" i="5"/>
  <c r="E23" i="5"/>
  <c r="F23" i="5"/>
  <c r="F24" i="5"/>
  <c r="E24" i="5"/>
  <c r="F25" i="5"/>
  <c r="E25" i="5"/>
  <c r="F26" i="5"/>
  <c r="E26" i="5"/>
  <c r="E27" i="5"/>
  <c r="F27" i="5"/>
  <c r="F28" i="5"/>
  <c r="E28" i="5"/>
  <c r="F29" i="5"/>
  <c r="E29" i="5"/>
  <c r="F30" i="5"/>
  <c r="E30" i="5"/>
  <c r="E31" i="5"/>
  <c r="F31" i="5"/>
  <c r="F32" i="5"/>
  <c r="E32" i="5"/>
  <c r="F33" i="5"/>
  <c r="E33" i="5"/>
  <c r="F34" i="5"/>
  <c r="E34" i="5"/>
  <c r="E35" i="5"/>
  <c r="F35" i="5"/>
  <c r="F36" i="5"/>
  <c r="E36" i="5"/>
  <c r="F37" i="5"/>
  <c r="E37" i="5"/>
  <c r="E38" i="5"/>
  <c r="F38" i="5"/>
  <c r="E40" i="5"/>
  <c r="B43" i="5"/>
  <c r="B42" i="5"/>
  <c r="F40" i="3"/>
  <c r="B43" i="6"/>
  <c r="D43" i="6"/>
  <c r="A44" i="6"/>
  <c r="E39" i="5"/>
  <c r="E42" i="8"/>
  <c r="F42" i="8" s="1"/>
  <c r="F40" i="5"/>
  <c r="C43" i="5"/>
  <c r="C42" i="5"/>
  <c r="F42" i="6"/>
  <c r="C42" i="6" s="1"/>
  <c r="E42" i="6"/>
  <c r="E2" i="3"/>
  <c r="F2" i="3"/>
  <c r="E3" i="3"/>
  <c r="F3" i="3"/>
  <c r="E4" i="3"/>
  <c r="F4" i="3"/>
  <c r="F5" i="3"/>
  <c r="E5" i="3"/>
  <c r="E6" i="3"/>
  <c r="F6" i="3"/>
  <c r="E7" i="3"/>
  <c r="F7" i="3"/>
  <c r="E8" i="3"/>
  <c r="F8" i="3"/>
  <c r="E9" i="3"/>
  <c r="F9" i="3"/>
  <c r="F10" i="3"/>
  <c r="E10" i="3"/>
  <c r="F11" i="3"/>
  <c r="E11" i="3"/>
  <c r="F12" i="3"/>
  <c r="E12" i="3"/>
  <c r="F13" i="3"/>
  <c r="E13" i="3"/>
  <c r="F14" i="3"/>
  <c r="E14" i="3"/>
  <c r="F15" i="3"/>
  <c r="E15" i="3"/>
  <c r="F16" i="3"/>
  <c r="E16" i="3"/>
  <c r="F17" i="3"/>
  <c r="E17" i="3"/>
  <c r="E18" i="3"/>
  <c r="F18" i="3"/>
  <c r="F19" i="3"/>
  <c r="E19" i="3"/>
  <c r="E20" i="3"/>
  <c r="F20" i="3"/>
  <c r="E21" i="3"/>
  <c r="F21" i="3"/>
  <c r="E22" i="3"/>
  <c r="F23" i="3"/>
  <c r="F22" i="3"/>
  <c r="E23" i="3"/>
  <c r="E24" i="3"/>
  <c r="F24" i="3"/>
  <c r="F25" i="3"/>
  <c r="E25" i="3"/>
  <c r="E26" i="3"/>
  <c r="F26" i="3"/>
  <c r="F27" i="3"/>
  <c r="E27" i="3"/>
  <c r="E28" i="3"/>
  <c r="F28" i="3"/>
  <c r="F29" i="3"/>
  <c r="E29" i="3"/>
  <c r="E30" i="3"/>
  <c r="F30" i="3"/>
  <c r="F31" i="3"/>
  <c r="E31" i="3"/>
  <c r="F32" i="3"/>
  <c r="E32" i="3"/>
  <c r="E33" i="3"/>
  <c r="F33" i="3"/>
  <c r="E34" i="3"/>
  <c r="F34" i="3"/>
  <c r="F35" i="3"/>
  <c r="E35" i="3"/>
  <c r="F36" i="3"/>
  <c r="E36" i="3"/>
  <c r="E37" i="3"/>
  <c r="F37" i="3"/>
  <c r="E38" i="3"/>
  <c r="F38" i="3"/>
  <c r="F39" i="3"/>
  <c r="E39" i="3"/>
  <c r="F43" i="3" l="1"/>
  <c r="J3" i="3" s="1"/>
  <c r="F42" i="3"/>
  <c r="D44" i="6"/>
  <c r="B44" i="6"/>
  <c r="A47" i="6"/>
  <c r="A46" i="6"/>
  <c r="F43" i="5"/>
  <c r="J3" i="5" s="1"/>
  <c r="F42" i="5"/>
  <c r="E43" i="5"/>
  <c r="I3" i="5" s="1"/>
  <c r="E42" i="5"/>
  <c r="B44" i="8"/>
  <c r="C44" i="8" s="1"/>
  <c r="C46" i="8" s="1"/>
  <c r="C47" i="8" s="1"/>
  <c r="D44" i="8"/>
  <c r="A47" i="8"/>
  <c r="A46" i="8"/>
  <c r="E43" i="3"/>
  <c r="I3" i="3" s="1"/>
  <c r="E42" i="3"/>
  <c r="E43" i="6"/>
  <c r="F43" i="6" s="1"/>
  <c r="C43" i="6" s="1"/>
  <c r="E43" i="8"/>
  <c r="F43" i="8"/>
  <c r="C43" i="8"/>
  <c r="H2" i="8" l="1"/>
  <c r="G2" i="8"/>
  <c r="G3" i="8"/>
  <c r="H3" i="8"/>
  <c r="G4" i="8"/>
  <c r="H4" i="8"/>
  <c r="G5" i="8"/>
  <c r="H5" i="8"/>
  <c r="G6" i="8"/>
  <c r="H6" i="8"/>
  <c r="G7" i="8"/>
  <c r="G8" i="8"/>
  <c r="H7" i="8"/>
  <c r="G9" i="8"/>
  <c r="H8" i="8"/>
  <c r="H9" i="8"/>
  <c r="G10" i="8"/>
  <c r="H10" i="8"/>
  <c r="G11" i="8"/>
  <c r="G12" i="8"/>
  <c r="H11" i="8"/>
  <c r="H12" i="8"/>
  <c r="G13" i="8"/>
  <c r="G14" i="8"/>
  <c r="H13" i="8"/>
  <c r="G15" i="8"/>
  <c r="H14" i="8"/>
  <c r="H15" i="8"/>
  <c r="G16" i="8"/>
  <c r="G17" i="8"/>
  <c r="H16" i="8"/>
  <c r="G18" i="8"/>
  <c r="H17" i="8"/>
  <c r="H18" i="8"/>
  <c r="G19" i="8"/>
  <c r="G20" i="8"/>
  <c r="H19" i="8"/>
  <c r="H20" i="8"/>
  <c r="G21" i="8"/>
  <c r="H21" i="8"/>
  <c r="G22" i="8"/>
  <c r="G23" i="8"/>
  <c r="H22" i="8"/>
  <c r="G24" i="8"/>
  <c r="G25" i="8"/>
  <c r="H24" i="8"/>
  <c r="H23" i="8"/>
  <c r="G26" i="8"/>
  <c r="H25" i="8"/>
  <c r="H26" i="8"/>
  <c r="G27" i="8"/>
  <c r="H27" i="8"/>
  <c r="G28" i="8"/>
  <c r="G29" i="8"/>
  <c r="H28" i="8"/>
  <c r="H29" i="8"/>
  <c r="G30" i="8"/>
  <c r="G31" i="8"/>
  <c r="H30" i="8"/>
  <c r="G32" i="8"/>
  <c r="H31" i="8"/>
  <c r="G33" i="8"/>
  <c r="H32" i="8"/>
  <c r="G34" i="8"/>
  <c r="G35" i="8"/>
  <c r="H33" i="8"/>
  <c r="H34" i="8"/>
  <c r="G36" i="8"/>
  <c r="H35" i="8"/>
  <c r="H36" i="8"/>
  <c r="G37" i="8"/>
  <c r="H37" i="8"/>
  <c r="G38" i="8"/>
  <c r="H38" i="8"/>
  <c r="G39" i="8"/>
  <c r="H39" i="8"/>
  <c r="G40" i="8"/>
  <c r="G41" i="8"/>
  <c r="H40" i="8"/>
  <c r="H41" i="8"/>
  <c r="G42" i="8"/>
  <c r="H42" i="8"/>
  <c r="G43" i="8"/>
  <c r="H43" i="8"/>
  <c r="I2" i="3"/>
  <c r="E44" i="8"/>
  <c r="F44" i="8"/>
  <c r="G44" i="8" s="1"/>
  <c r="I2" i="5"/>
  <c r="J2" i="5"/>
  <c r="B46" i="6"/>
  <c r="B47" i="6"/>
  <c r="J2" i="3"/>
  <c r="H44" i="8"/>
  <c r="B46" i="8"/>
  <c r="B47" i="8"/>
  <c r="F44" i="6"/>
  <c r="C44" i="6" s="1"/>
  <c r="C46" i="6" s="1"/>
  <c r="C47" i="6" s="1"/>
  <c r="E44" i="6"/>
  <c r="G47" i="8" l="1"/>
  <c r="G46" i="8"/>
  <c r="I2" i="8" s="1"/>
  <c r="G2" i="6"/>
  <c r="H2" i="6"/>
  <c r="H3" i="6"/>
  <c r="G3" i="6"/>
  <c r="G4" i="6"/>
  <c r="H4" i="6"/>
  <c r="G5" i="6"/>
  <c r="G6" i="6"/>
  <c r="H5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G22" i="6"/>
  <c r="H21" i="6"/>
  <c r="H22" i="6"/>
  <c r="G23" i="6"/>
  <c r="G24" i="6"/>
  <c r="H23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G33" i="6"/>
  <c r="H32" i="6"/>
  <c r="G35" i="6"/>
  <c r="H33" i="6"/>
  <c r="G34" i="6"/>
  <c r="G36" i="6"/>
  <c r="H35" i="6"/>
  <c r="H34" i="6"/>
  <c r="H36" i="6"/>
  <c r="G37" i="6"/>
  <c r="H37" i="6"/>
  <c r="G38" i="6"/>
  <c r="H38" i="6"/>
  <c r="G39" i="6"/>
  <c r="G40" i="6"/>
  <c r="H39" i="6"/>
  <c r="H40" i="6"/>
  <c r="G41" i="6"/>
  <c r="H41" i="6"/>
  <c r="G42" i="6"/>
  <c r="G43" i="6"/>
  <c r="H42" i="6"/>
  <c r="G44" i="6"/>
  <c r="H43" i="6"/>
  <c r="H44" i="6"/>
  <c r="H47" i="8"/>
  <c r="H46" i="8"/>
  <c r="J2" i="8" s="1"/>
  <c r="H46" i="6" l="1"/>
  <c r="J2" i="6" s="1"/>
  <c r="H47" i="6"/>
  <c r="J3" i="6" s="1"/>
  <c r="J3" i="8"/>
  <c r="G47" i="6"/>
  <c r="G46" i="6"/>
  <c r="I2" i="6" s="1"/>
  <c r="I3" i="8"/>
  <c r="I3" i="6" l="1"/>
</calcChain>
</file>

<file path=xl/sharedStrings.xml><?xml version="1.0" encoding="utf-8"?>
<sst xmlns="http://schemas.openxmlformats.org/spreadsheetml/2006/main" count="88" uniqueCount="38">
  <si>
    <t>R</t>
  </si>
  <si>
    <t>P</t>
  </si>
  <si>
    <t>q</t>
  </si>
  <si>
    <t>Ra</t>
  </si>
  <si>
    <t>Vb</t>
  </si>
  <si>
    <t>Hb</t>
  </si>
  <si>
    <t>alfa</t>
  </si>
  <si>
    <t>M</t>
  </si>
  <si>
    <t>Q</t>
  </si>
  <si>
    <t>N</t>
  </si>
  <si>
    <t>al_rad</t>
  </si>
  <si>
    <t>x</t>
  </si>
  <si>
    <t>y</t>
  </si>
  <si>
    <t>l</t>
  </si>
  <si>
    <t>f</t>
  </si>
  <si>
    <t>Va</t>
  </si>
  <si>
    <t>Ha</t>
  </si>
  <si>
    <t>x_P</t>
  </si>
  <si>
    <t>y_P</t>
  </si>
  <si>
    <t>y_p</t>
  </si>
  <si>
    <t>cosa</t>
  </si>
  <si>
    <t>sina</t>
  </si>
  <si>
    <t>Parabolic arch</t>
  </si>
  <si>
    <t>reactions</t>
  </si>
  <si>
    <t>cross-section forces</t>
  </si>
  <si>
    <t>circular arch</t>
  </si>
  <si>
    <t>ver.Sy</t>
  </si>
  <si>
    <t>M_x</t>
  </si>
  <si>
    <t>M_y</t>
  </si>
  <si>
    <t>Q_x</t>
  </si>
  <si>
    <t>Q_y</t>
  </si>
  <si>
    <t>N_x</t>
  </si>
  <si>
    <t>N_y</t>
  </si>
  <si>
    <t>diagram data</t>
  </si>
  <si>
    <t>ver.Mc</t>
  </si>
  <si>
    <t>sinus</t>
  </si>
  <si>
    <t>tangent</t>
  </si>
  <si>
    <t>cosine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</si>
</sst>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imes New Roman"/>
      <charset val="238"/>
    </font>
    <font>
      <sz val="8"/>
      <name val="Times New Roman"/>
      <family val="1"/>
      <charset val="238"/>
    </font>
    <font>
      <sz val="24"/>
      <name val="Times New Roman"/>
      <charset val="238"/>
    </font>
    <font>
      <sz val="8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2" fillId="0" borderId="0" xfId="0" applyFont="1"/>
    <xf numFmtId="0" fontId="0" fillId="0" borderId="0" xfId="0" applyAlignment="1">
      <alignment horizontal="center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27060995642539E-2"/>
          <c:y val="6.5891597572215604E-2"/>
          <c:w val="0.94466013194293452"/>
          <c:h val="0.86821869742213509"/>
        </c:manualLayout>
      </c:layout>
      <c:scatterChart>
        <c:scatterStyle val="lineMarker"/>
        <c:varyColors val="0"/>
        <c:ser>
          <c:idx val="0"/>
          <c:order val="0"/>
          <c:tx>
            <c:v>arch axis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M_c!$B$2:$B$40</c:f>
              <c:numCache>
                <c:formatCode>General</c:formatCode>
                <c:ptCount val="39"/>
                <c:pt idx="0">
                  <c:v>0</c:v>
                </c:pt>
                <c:pt idx="1">
                  <c:v>1.1415905724763364E-2</c:v>
                </c:pt>
                <c:pt idx="2">
                  <c:v>4.5576740963375939E-2</c:v>
                </c:pt>
                <c:pt idx="3">
                  <c:v>0.10222252113279506</c:v>
                </c:pt>
                <c:pt idx="4">
                  <c:v>0.18092213764227472</c:v>
                </c:pt>
                <c:pt idx="5">
                  <c:v>0.28107663889005019</c:v>
                </c:pt>
                <c:pt idx="6">
                  <c:v>0.40192378864668388</c:v>
                </c:pt>
                <c:pt idx="7">
                  <c:v>0.5425438671330246</c:v>
                </c:pt>
                <c:pt idx="8">
                  <c:v>0.70186667064306596</c:v>
                </c:pt>
                <c:pt idx="9">
                  <c:v>0.87867965644035728</c:v>
                </c:pt>
                <c:pt idx="10">
                  <c:v>1.0716371709403818</c:v>
                </c:pt>
                <c:pt idx="11">
                  <c:v>1.2792706909468614</c:v>
                </c:pt>
                <c:pt idx="12">
                  <c:v>1.4999999999999996</c:v>
                </c:pt>
                <c:pt idx="13">
                  <c:v>1.4999999999999996</c:v>
                </c:pt>
                <c:pt idx="14">
                  <c:v>1.7321452147779013</c:v>
                </c:pt>
                <c:pt idx="15">
                  <c:v>1.9739395700229927</c:v>
                </c:pt>
                <c:pt idx="16">
                  <c:v>2.2235428646924364</c:v>
                </c:pt>
                <c:pt idx="17">
                  <c:v>2.4790554669992075</c:v>
                </c:pt>
                <c:pt idx="18">
                  <c:v>2.7385327717570238</c:v>
                </c:pt>
                <c:pt idx="19">
                  <c:v>2.9999999999999978</c:v>
                </c:pt>
                <c:pt idx="20">
                  <c:v>2.9999999999999978</c:v>
                </c:pt>
                <c:pt idx="21">
                  <c:v>3.2614672282429717</c:v>
                </c:pt>
                <c:pt idx="22">
                  <c:v>3.5209445330007885</c:v>
                </c:pt>
                <c:pt idx="23">
                  <c:v>3.7764571353075596</c:v>
                </c:pt>
                <c:pt idx="24">
                  <c:v>4.0260604299770026</c:v>
                </c:pt>
                <c:pt idx="25">
                  <c:v>4.2678547852220952</c:v>
                </c:pt>
                <c:pt idx="26">
                  <c:v>4.4999999999999973</c:v>
                </c:pt>
                <c:pt idx="27">
                  <c:v>4.7207293090531355</c:v>
                </c:pt>
                <c:pt idx="28">
                  <c:v>4.9283628290596155</c:v>
                </c:pt>
                <c:pt idx="29">
                  <c:v>5.1213203435596402</c:v>
                </c:pt>
                <c:pt idx="30">
                  <c:v>5.298133329356931</c:v>
                </c:pt>
                <c:pt idx="31">
                  <c:v>5.4574561328669731</c:v>
                </c:pt>
                <c:pt idx="32">
                  <c:v>5.5980762113533142</c:v>
                </c:pt>
                <c:pt idx="33">
                  <c:v>5.7189233611099475</c:v>
                </c:pt>
                <c:pt idx="34">
                  <c:v>5.8190778623577231</c:v>
                </c:pt>
                <c:pt idx="35">
                  <c:v>5.8977774788672033</c:v>
                </c:pt>
                <c:pt idx="36">
                  <c:v>5.9544232590366235</c:v>
                </c:pt>
                <c:pt idx="37">
                  <c:v>5.988584094275236</c:v>
                </c:pt>
                <c:pt idx="38">
                  <c:v>6</c:v>
                </c:pt>
              </c:numCache>
            </c:numRef>
          </c:xVal>
          <c:yVal>
            <c:numRef>
              <c:f>M_c!$C$2:$C$40</c:f>
              <c:numCache>
                <c:formatCode>General</c:formatCode>
                <c:ptCount val="39"/>
                <c:pt idx="0">
                  <c:v>0</c:v>
                </c:pt>
                <c:pt idx="1">
                  <c:v>0.26146722824297453</c:v>
                </c:pt>
                <c:pt idx="2">
                  <c:v>0.52094453300079102</c:v>
                </c:pt>
                <c:pt idx="3">
                  <c:v>0.77645713530756222</c:v>
                </c:pt>
                <c:pt idx="4">
                  <c:v>1.0260604299770062</c:v>
                </c:pt>
                <c:pt idx="5">
                  <c:v>1.2678547852220983</c:v>
                </c:pt>
                <c:pt idx="6">
                  <c:v>1.4999999999999998</c:v>
                </c:pt>
                <c:pt idx="7">
                  <c:v>1.7207293090531381</c:v>
                </c:pt>
                <c:pt idx="8">
                  <c:v>1.9283628290596178</c:v>
                </c:pt>
                <c:pt idx="9">
                  <c:v>2.1213203435596424</c:v>
                </c:pt>
                <c:pt idx="10">
                  <c:v>2.2981333293569342</c:v>
                </c:pt>
                <c:pt idx="11">
                  <c:v>2.4574561328669753</c:v>
                </c:pt>
                <c:pt idx="12">
                  <c:v>2.598076211353316</c:v>
                </c:pt>
                <c:pt idx="13">
                  <c:v>2.598076211353316</c:v>
                </c:pt>
                <c:pt idx="14">
                  <c:v>2.7189233611099493</c:v>
                </c:pt>
                <c:pt idx="15">
                  <c:v>2.8190778623577248</c:v>
                </c:pt>
                <c:pt idx="16">
                  <c:v>2.8977774788672046</c:v>
                </c:pt>
                <c:pt idx="17">
                  <c:v>2.9544232590366239</c:v>
                </c:pt>
                <c:pt idx="18">
                  <c:v>2.9885840942752364</c:v>
                </c:pt>
                <c:pt idx="19">
                  <c:v>3</c:v>
                </c:pt>
                <c:pt idx="20">
                  <c:v>3</c:v>
                </c:pt>
                <c:pt idx="21">
                  <c:v>2.9885840942752369</c:v>
                </c:pt>
                <c:pt idx="22">
                  <c:v>2.9544232590366248</c:v>
                </c:pt>
                <c:pt idx="23">
                  <c:v>2.8977774788672055</c:v>
                </c:pt>
                <c:pt idx="24">
                  <c:v>2.8190778623577262</c:v>
                </c:pt>
                <c:pt idx="25">
                  <c:v>2.718923361109951</c:v>
                </c:pt>
                <c:pt idx="26">
                  <c:v>2.5980762113533173</c:v>
                </c:pt>
                <c:pt idx="27">
                  <c:v>2.4574561328669775</c:v>
                </c:pt>
                <c:pt idx="28">
                  <c:v>2.2981333293569368</c:v>
                </c:pt>
                <c:pt idx="29">
                  <c:v>2.1213203435596455</c:v>
                </c:pt>
                <c:pt idx="30">
                  <c:v>1.9283628290596213</c:v>
                </c:pt>
                <c:pt idx="31">
                  <c:v>1.7207293090531421</c:v>
                </c:pt>
                <c:pt idx="32">
                  <c:v>1.5000000000000044</c:v>
                </c:pt>
                <c:pt idx="33">
                  <c:v>1.2678547852221034</c:v>
                </c:pt>
                <c:pt idx="34">
                  <c:v>1.0260604299770115</c:v>
                </c:pt>
                <c:pt idx="35">
                  <c:v>0.77645713530756821</c:v>
                </c:pt>
                <c:pt idx="36">
                  <c:v>0.52094453300079735</c:v>
                </c:pt>
                <c:pt idx="37">
                  <c:v>0.26146722824298119</c:v>
                </c:pt>
                <c:pt idx="38">
                  <c:v>7.0288826842235252E-15</c:v>
                </c:pt>
              </c:numCache>
            </c:numRef>
          </c:yVal>
          <c:smooth val="0"/>
        </c:ser>
        <c:ser>
          <c:idx val="1"/>
          <c:order val="1"/>
          <c:tx>
            <c:v>bending moment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M_c!$E$2:$E$40</c:f>
              <c:numCache>
                <c:formatCode>General</c:formatCode>
                <c:ptCount val="39"/>
                <c:pt idx="0">
                  <c:v>0</c:v>
                </c:pt>
                <c:pt idx="1">
                  <c:v>1.5964891627533152E-2</c:v>
                </c:pt>
                <c:pt idx="2">
                  <c:v>6.3530472106480634E-2</c:v>
                </c:pt>
                <c:pt idx="3">
                  <c:v>0.1417182704090138</c:v>
                </c:pt>
                <c:pt idx="4">
                  <c:v>0.24892661671397792</c:v>
                </c:pt>
                <c:pt idx="5">
                  <c:v>0.38297341752210662</c:v>
                </c:pt>
                <c:pt idx="6">
                  <c:v>0.54115427318801024</c:v>
                </c:pt>
                <c:pt idx="7">
                  <c:v>0.72031423428441355</c:v>
                </c:pt>
                <c:pt idx="8">
                  <c:v>0.91693109578568155</c:v>
                </c:pt>
                <c:pt idx="9">
                  <c:v>1.1272077938642144</c:v>
                </c:pt>
                <c:pt idx="10">
                  <c:v>1.3471712091643873</c:v>
                </c:pt>
                <c:pt idx="11">
                  <c:v>1.5727745005635181</c:v>
                </c:pt>
                <c:pt idx="12">
                  <c:v>1.7999999999999996</c:v>
                </c:pt>
                <c:pt idx="13">
                  <c:v>1.7999999999999996</c:v>
                </c:pt>
                <c:pt idx="14">
                  <c:v>1.9775859235486035</c:v>
                </c:pt>
                <c:pt idx="15">
                  <c:v>2.1676040849636165</c:v>
                </c:pt>
                <c:pt idx="16">
                  <c:v>2.3675848374167359</c:v>
                </c:pt>
                <c:pt idx="17">
                  <c:v>2.5748625297495034</c:v>
                </c:pt>
                <c:pt idx="18">
                  <c:v>2.7866305437314778</c:v>
                </c:pt>
                <c:pt idx="19">
                  <c:v>2.9999999999999982</c:v>
                </c:pt>
                <c:pt idx="20">
                  <c:v>2.9999999999999982</c:v>
                </c:pt>
                <c:pt idx="21">
                  <c:v>3.2129120453988955</c:v>
                </c:pt>
                <c:pt idx="22">
                  <c:v>3.426676105072838</c:v>
                </c:pt>
                <c:pt idx="23">
                  <c:v>3.6431712763610027</c:v>
                </c:pt>
                <c:pt idx="24">
                  <c:v>3.863696718379388</c:v>
                </c:pt>
                <c:pt idx="25">
                  <c:v>4.0887199864365193</c:v>
                </c:pt>
                <c:pt idx="26">
                  <c:v>4.3176914536239765</c:v>
                </c:pt>
                <c:pt idx="27">
                  <c:v>4.5489397235087612</c:v>
                </c:pt>
                <c:pt idx="28">
                  <c:v>4.7796571393097391</c:v>
                </c:pt>
                <c:pt idx="29">
                  <c:v>5.0059780335740509</c:v>
                </c:pt>
                <c:pt idx="30">
                  <c:v>5.2231456875694926</c:v>
                </c:pt>
                <c:pt idx="31">
                  <c:v>5.4257575461889989</c:v>
                </c:pt>
                <c:pt idx="32">
                  <c:v>5.6080725103905582</c:v>
                </c:pt>
                <c:pt idx="33">
                  <c:v>5.7643595059297636</c:v>
                </c:pt>
                <c:pt idx="34">
                  <c:v>5.8892633301971475</c:v>
                </c:pt>
                <c:pt idx="35">
                  <c:v>5.9781622365965417</c:v>
                </c:pt>
                <c:pt idx="36">
                  <c:v>6.0274919429155682</c:v>
                </c:pt>
                <c:pt idx="37">
                  <c:v>6.0350127398297735</c:v>
                </c:pt>
                <c:pt idx="38">
                  <c:v>6.0000000000000036</c:v>
                </c:pt>
              </c:numCache>
            </c:numRef>
          </c:xVal>
          <c:yVal>
            <c:numRef>
              <c:f>M_c!$F$2:$F$40</c:f>
              <c:numCache>
                <c:formatCode>General</c:formatCode>
                <c:ptCount val="39"/>
                <c:pt idx="0">
                  <c:v>0</c:v>
                </c:pt>
                <c:pt idx="1">
                  <c:v>0.26106924354594291</c:v>
                </c:pt>
                <c:pt idx="2">
                  <c:v>0.51777880579587587</c:v>
                </c:pt>
                <c:pt idx="3">
                  <c:v>0.76587428118453726</c:v>
                </c:pt>
                <c:pt idx="4">
                  <c:v>1.0013088237981274</c:v>
                </c:pt>
                <c:pt idx="5">
                  <c:v>1.2203395370046457</c:v>
                </c:pt>
                <c:pt idx="6">
                  <c:v>1.4196152422706629</c:v>
                </c:pt>
                <c:pt idx="7">
                  <c:v>1.5962531579034278</c:v>
                </c:pt>
                <c:pt idx="8">
                  <c:v>1.7479023492430954</c:v>
                </c:pt>
                <c:pt idx="9">
                  <c:v>1.8727922061357853</c:v>
                </c:pt>
                <c:pt idx="10">
                  <c:v>1.9697646494214853</c:v>
                </c:pt>
                <c:pt idx="11">
                  <c:v>2.03828925219173</c:v>
                </c:pt>
                <c:pt idx="12">
                  <c:v>2.078460969082653</c:v>
                </c:pt>
                <c:pt idx="13">
                  <c:v>2.078460969082653</c:v>
                </c:pt>
                <c:pt idx="14">
                  <c:v>2.1925740625764076</c:v>
                </c:pt>
                <c:pt idx="15">
                  <c:v>2.2869889806087293</c:v>
                </c:pt>
                <c:pt idx="16">
                  <c:v>2.3602055182376698</c:v>
                </c:pt>
                <c:pt idx="17">
                  <c:v>2.4110744058698987</c:v>
                </c:pt>
                <c:pt idx="18">
                  <c:v>2.4388240449609428</c:v>
                </c:pt>
                <c:pt idx="19">
                  <c:v>2.4430780618346946</c:v>
                </c:pt>
                <c:pt idx="20">
                  <c:v>2.4430780618346946</c:v>
                </c:pt>
                <c:pt idx="21">
                  <c:v>2.4335958147973011</c:v>
                </c:pt>
                <c:pt idx="22">
                  <c:v>2.419800437564894</c:v>
                </c:pt>
                <c:pt idx="23">
                  <c:v>2.400347881348194</c:v>
                </c:pt>
                <c:pt idx="24">
                  <c:v>2.3729872310044353</c:v>
                </c:pt>
                <c:pt idx="25">
                  <c:v>2.3347675454101946</c:v>
                </c:pt>
                <c:pt idx="26">
                  <c:v>2.2823085463760222</c:v>
                </c:pt>
                <c:pt idx="27">
                  <c:v>2.2121151786927249</c:v>
                </c:pt>
                <c:pt idx="28">
                  <c:v>2.1209127893583211</c:v>
                </c:pt>
                <c:pt idx="29">
                  <c:v>2.0059780335740558</c:v>
                </c:pt>
                <c:pt idx="30">
                  <c:v>1.8654407264929274</c:v>
                </c:pt>
                <c:pt idx="31">
                  <c:v>1.6985337197106309</c:v>
                </c:pt>
                <c:pt idx="32">
                  <c:v>1.5057713659400573</c:v>
                </c:pt>
                <c:pt idx="33">
                  <c:v>1.2890420075086235</c:v>
                </c:pt>
                <c:pt idx="34">
                  <c:v>1.0516058511486099</c:v>
                </c:pt>
                <c:pt idx="35">
                  <c:v>0.79799616622491598</c:v>
                </c:pt>
                <c:pt idx="36">
                  <c:v>0.53382851341351301</c:v>
                </c:pt>
                <c:pt idx="37">
                  <c:v>0.26552920839186661</c:v>
                </c:pt>
                <c:pt idx="38">
                  <c:v>7.0288826842235331E-15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17184"/>
        <c:axId val="81118720"/>
      </c:scatterChart>
      <c:valAx>
        <c:axId val="81117184"/>
        <c:scaling>
          <c:orientation val="minMax"/>
          <c:max val="6.7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81118720"/>
        <c:crosses val="autoZero"/>
        <c:crossBetween val="midCat"/>
        <c:majorUnit val="1"/>
      </c:valAx>
      <c:valAx>
        <c:axId val="81118720"/>
        <c:scaling>
          <c:orientation val="minMax"/>
          <c:max val="3.300000000000000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8111718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97468354430382E-2"/>
          <c:y val="5.6310679611650483E-2"/>
          <c:w val="0.90506329113924056"/>
          <c:h val="0.88932038834951455"/>
        </c:manualLayout>
      </c:layout>
      <c:scatterChart>
        <c:scatterStyle val="lineMarker"/>
        <c:varyColors val="0"/>
        <c:ser>
          <c:idx val="0"/>
          <c:order val="0"/>
          <c:tx>
            <c:v>arch axis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Q_c!$B$2:$B$40</c:f>
              <c:numCache>
                <c:formatCode>General</c:formatCode>
                <c:ptCount val="39"/>
                <c:pt idx="0">
                  <c:v>0</c:v>
                </c:pt>
                <c:pt idx="1">
                  <c:v>1.1415905724763364E-2</c:v>
                </c:pt>
                <c:pt idx="2">
                  <c:v>4.5576740963375939E-2</c:v>
                </c:pt>
                <c:pt idx="3">
                  <c:v>0.10222252113279506</c:v>
                </c:pt>
                <c:pt idx="4">
                  <c:v>0.18092213764227472</c:v>
                </c:pt>
                <c:pt idx="5">
                  <c:v>0.28107663889005019</c:v>
                </c:pt>
                <c:pt idx="6">
                  <c:v>0.40192378864668388</c:v>
                </c:pt>
                <c:pt idx="7">
                  <c:v>0.5425438671330246</c:v>
                </c:pt>
                <c:pt idx="8">
                  <c:v>0.70186667064306596</c:v>
                </c:pt>
                <c:pt idx="9">
                  <c:v>0.87867965644035728</c:v>
                </c:pt>
                <c:pt idx="10">
                  <c:v>1.0716371709403818</c:v>
                </c:pt>
                <c:pt idx="11">
                  <c:v>1.2792706909468614</c:v>
                </c:pt>
                <c:pt idx="12">
                  <c:v>1.4999999999999996</c:v>
                </c:pt>
                <c:pt idx="13">
                  <c:v>1.4999999999999996</c:v>
                </c:pt>
                <c:pt idx="14">
                  <c:v>1.7321452147779013</c:v>
                </c:pt>
                <c:pt idx="15">
                  <c:v>1.9739395700229927</c:v>
                </c:pt>
                <c:pt idx="16">
                  <c:v>2.2235428646924364</c:v>
                </c:pt>
                <c:pt idx="17">
                  <c:v>2.4790554669992075</c:v>
                </c:pt>
                <c:pt idx="18">
                  <c:v>2.7385327717570238</c:v>
                </c:pt>
                <c:pt idx="19">
                  <c:v>2.9999999999999978</c:v>
                </c:pt>
                <c:pt idx="20">
                  <c:v>2.9999999999999978</c:v>
                </c:pt>
                <c:pt idx="21">
                  <c:v>3.2614672282429717</c:v>
                </c:pt>
                <c:pt idx="22">
                  <c:v>3.5209445330007885</c:v>
                </c:pt>
                <c:pt idx="23">
                  <c:v>3.7764571353075596</c:v>
                </c:pt>
                <c:pt idx="24">
                  <c:v>4.0260604299770026</c:v>
                </c:pt>
                <c:pt idx="25">
                  <c:v>4.2678547852220952</c:v>
                </c:pt>
                <c:pt idx="26">
                  <c:v>4.4999999999999973</c:v>
                </c:pt>
                <c:pt idx="27">
                  <c:v>4.7207293090531355</c:v>
                </c:pt>
                <c:pt idx="28">
                  <c:v>4.9283628290596155</c:v>
                </c:pt>
                <c:pt idx="29">
                  <c:v>5.1213203435596402</c:v>
                </c:pt>
                <c:pt idx="30">
                  <c:v>5.298133329356931</c:v>
                </c:pt>
                <c:pt idx="31">
                  <c:v>5.4574561328669731</c:v>
                </c:pt>
                <c:pt idx="32">
                  <c:v>5.5980762113533142</c:v>
                </c:pt>
                <c:pt idx="33">
                  <c:v>5.7189233611099475</c:v>
                </c:pt>
                <c:pt idx="34">
                  <c:v>5.8190778623577231</c:v>
                </c:pt>
                <c:pt idx="35">
                  <c:v>5.8977774788672033</c:v>
                </c:pt>
                <c:pt idx="36">
                  <c:v>5.9544232590366235</c:v>
                </c:pt>
                <c:pt idx="37">
                  <c:v>5.988584094275236</c:v>
                </c:pt>
                <c:pt idx="38">
                  <c:v>6</c:v>
                </c:pt>
              </c:numCache>
            </c:numRef>
          </c:xVal>
          <c:yVal>
            <c:numRef>
              <c:f>Q_c!$C$2:$C$40</c:f>
              <c:numCache>
                <c:formatCode>General</c:formatCode>
                <c:ptCount val="39"/>
                <c:pt idx="0">
                  <c:v>0</c:v>
                </c:pt>
                <c:pt idx="1">
                  <c:v>0.26146722824297453</c:v>
                </c:pt>
                <c:pt idx="2">
                  <c:v>0.52094453300079102</c:v>
                </c:pt>
                <c:pt idx="3">
                  <c:v>0.77645713530756222</c:v>
                </c:pt>
                <c:pt idx="4">
                  <c:v>1.0260604299770062</c:v>
                </c:pt>
                <c:pt idx="5">
                  <c:v>1.2678547852220983</c:v>
                </c:pt>
                <c:pt idx="6">
                  <c:v>1.4999999999999998</c:v>
                </c:pt>
                <c:pt idx="7">
                  <c:v>1.7207293090531381</c:v>
                </c:pt>
                <c:pt idx="8">
                  <c:v>1.9283628290596178</c:v>
                </c:pt>
                <c:pt idx="9">
                  <c:v>2.1213203435596424</c:v>
                </c:pt>
                <c:pt idx="10">
                  <c:v>2.2981333293569342</c:v>
                </c:pt>
                <c:pt idx="11">
                  <c:v>2.4574561328669753</c:v>
                </c:pt>
                <c:pt idx="12">
                  <c:v>2.598076211353316</c:v>
                </c:pt>
                <c:pt idx="13">
                  <c:v>2.598076211353316</c:v>
                </c:pt>
                <c:pt idx="14">
                  <c:v>2.7189233611099493</c:v>
                </c:pt>
                <c:pt idx="15">
                  <c:v>2.8190778623577248</c:v>
                </c:pt>
                <c:pt idx="16">
                  <c:v>2.8977774788672046</c:v>
                </c:pt>
                <c:pt idx="17">
                  <c:v>2.9544232590366239</c:v>
                </c:pt>
                <c:pt idx="18">
                  <c:v>2.9885840942752364</c:v>
                </c:pt>
                <c:pt idx="19">
                  <c:v>3</c:v>
                </c:pt>
                <c:pt idx="20">
                  <c:v>3</c:v>
                </c:pt>
                <c:pt idx="21">
                  <c:v>2.9885840942752369</c:v>
                </c:pt>
                <c:pt idx="22">
                  <c:v>2.9544232590366248</c:v>
                </c:pt>
                <c:pt idx="23">
                  <c:v>2.8977774788672055</c:v>
                </c:pt>
                <c:pt idx="24">
                  <c:v>2.8190778623577262</c:v>
                </c:pt>
                <c:pt idx="25">
                  <c:v>2.718923361109951</c:v>
                </c:pt>
                <c:pt idx="26">
                  <c:v>2.5980762113533173</c:v>
                </c:pt>
                <c:pt idx="27">
                  <c:v>2.4574561328669775</c:v>
                </c:pt>
                <c:pt idx="28">
                  <c:v>2.2981333293569368</c:v>
                </c:pt>
                <c:pt idx="29">
                  <c:v>2.1213203435596455</c:v>
                </c:pt>
                <c:pt idx="30">
                  <c:v>1.9283628290596213</c:v>
                </c:pt>
                <c:pt idx="31">
                  <c:v>1.7207293090531421</c:v>
                </c:pt>
                <c:pt idx="32">
                  <c:v>1.5000000000000044</c:v>
                </c:pt>
                <c:pt idx="33">
                  <c:v>1.2678547852221034</c:v>
                </c:pt>
                <c:pt idx="34">
                  <c:v>1.0260604299770115</c:v>
                </c:pt>
                <c:pt idx="35">
                  <c:v>0.77645713530756821</c:v>
                </c:pt>
                <c:pt idx="36">
                  <c:v>0.52094453300079735</c:v>
                </c:pt>
                <c:pt idx="37">
                  <c:v>0.26146722824298119</c:v>
                </c:pt>
                <c:pt idx="38">
                  <c:v>7.0288826842235252E-15</c:v>
                </c:pt>
              </c:numCache>
            </c:numRef>
          </c:yVal>
          <c:smooth val="0"/>
        </c:ser>
        <c:ser>
          <c:idx val="1"/>
          <c:order val="1"/>
          <c:tx>
            <c:v>Shear Force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Q_c!$E$2:$E$40</c:f>
              <c:numCache>
                <c:formatCode>General</c:formatCode>
                <c:ptCount val="39"/>
                <c:pt idx="0">
                  <c:v>0</c:v>
                </c:pt>
                <c:pt idx="1">
                  <c:v>7.1569398996937483E-2</c:v>
                </c:pt>
                <c:pt idx="2">
                  <c:v>0.16405599405378549</c:v>
                </c:pt>
                <c:pt idx="3">
                  <c:v>0.27542760188968279</c:v>
                </c:pt>
                <c:pt idx="4">
                  <c:v>0.40359029733284246</c:v>
                </c:pt>
                <c:pt idx="5">
                  <c:v>0.54644221815762561</c:v>
                </c:pt>
                <c:pt idx="6">
                  <c:v>0.70192378864668392</c:v>
                </c:pt>
                <c:pt idx="7">
                  <c:v>0.86806293967277415</c:v>
                </c:pt>
                <c:pt idx="8">
                  <c:v>1.0430140834240431</c:v>
                </c:pt>
                <c:pt idx="9">
                  <c:v>1.2250898179541327</c:v>
                </c:pt>
                <c:pt idx="10">
                  <c:v>1.4127845837213591</c:v>
                </c:pt>
                <c:pt idx="11">
                  <c:v>1.6047897634866111</c:v>
                </c:pt>
                <c:pt idx="12">
                  <c:v>1.7999999999999996</c:v>
                </c:pt>
                <c:pt idx="13">
                  <c:v>1.4287187078897958</c:v>
                </c:pt>
                <c:pt idx="14">
                  <c:v>1.6848844672487033</c:v>
                </c:pt>
                <c:pt idx="15">
                  <c:v>1.9464947638816985</c:v>
                </c:pt>
                <c:pt idx="16">
                  <c:v>2.2111072993942225</c:v>
                </c:pt>
                <c:pt idx="17">
                  <c:v>2.4763663938112752</c:v>
                </c:pt>
                <c:pt idx="18">
                  <c:v>2.7400312997157674</c:v>
                </c:pt>
                <c:pt idx="19">
                  <c:v>2.9999999999999978</c:v>
                </c:pt>
                <c:pt idx="20">
                  <c:v>2.9999999999999978</c:v>
                </c:pt>
                <c:pt idx="21">
                  <c:v>3.2655663690261596</c:v>
                </c:pt>
                <c:pt idx="22">
                  <c:v>3.5453442686115042</c:v>
                </c:pt>
                <c:pt idx="23">
                  <c:v>3.8352451089013102</c:v>
                </c:pt>
                <c:pt idx="24">
                  <c:v>4.1298915590398622</c:v>
                </c:pt>
                <c:pt idx="25">
                  <c:v>4.4228897116500505</c:v>
                </c:pt>
                <c:pt idx="26">
                  <c:v>4.7071796769724461</c:v>
                </c:pt>
                <c:pt idx="27">
                  <c:v>4.9754407844035278</c:v>
                </c:pt>
                <c:pt idx="28">
                  <c:v>5.2205236773655095</c:v>
                </c:pt>
                <c:pt idx="29">
                  <c:v>5.4358796056657672</c:v>
                </c:pt>
                <c:pt idx="30">
                  <c:v>5.6159572863701026</c:v>
                </c:pt>
                <c:pt idx="31">
                  <c:v>5.7565398178285738</c:v>
                </c:pt>
                <c:pt idx="32">
                  <c:v>5.8549981495186216</c:v>
                </c:pt>
                <c:pt idx="33">
                  <c:v>5.9104432596846204</c:v>
                </c:pt>
                <c:pt idx="34">
                  <c:v>5.9237660880478344</c:v>
                </c:pt>
                <c:pt idx="35">
                  <c:v>5.8975619409224382</c:v>
                </c:pt>
                <c:pt idx="36">
                  <c:v>5.8359440059462173</c:v>
                </c:pt>
                <c:pt idx="37">
                  <c:v>5.7442582404768601</c:v>
                </c:pt>
                <c:pt idx="38">
                  <c:v>5.6287187078897993</c:v>
                </c:pt>
              </c:numCache>
            </c:numRef>
          </c:xVal>
          <c:yVal>
            <c:numRef>
              <c:f>Q_c!$F$2:$F$40</c:f>
              <c:numCache>
                <c:formatCode>General</c:formatCode>
                <c:ptCount val="39"/>
                <c:pt idx="0">
                  <c:v>0</c:v>
                </c:pt>
                <c:pt idx="1">
                  <c:v>0.25620447951017633</c:v>
                </c:pt>
                <c:pt idx="2">
                  <c:v>0.50005344402676499</c:v>
                </c:pt>
                <c:pt idx="3">
                  <c:v>0.7300469737937868</c:v>
                </c:pt>
                <c:pt idx="4">
                  <c:v>0.94501584773080616</c:v>
                </c:pt>
                <c:pt idx="5">
                  <c:v>1.1441127833988904</c:v>
                </c:pt>
                <c:pt idx="6">
                  <c:v>1.3267949192431121</c:v>
                </c:pt>
                <c:pt idx="7">
                  <c:v>1.4927984006297723</c:v>
                </c:pt>
                <c:pt idx="8">
                  <c:v>1.6421061608180165</c:v>
                </c:pt>
                <c:pt idx="9">
                  <c:v>1.774910182045867</c:v>
                </c:pt>
                <c:pt idx="10">
                  <c:v>1.8915696745709845</c:v>
                </c:pt>
                <c:pt idx="11">
                  <c:v>1.9925667182627902</c:v>
                </c:pt>
                <c:pt idx="12">
                  <c:v>2.078460969082653</c:v>
                </c:pt>
                <c:pt idx="13">
                  <c:v>2.7215390309173473</c:v>
                </c:pt>
                <c:pt idx="14">
                  <c:v>2.8202743612547692</c:v>
                </c:pt>
                <c:pt idx="15">
                  <c:v>2.8944818475122402</c:v>
                </c:pt>
                <c:pt idx="16">
                  <c:v>2.9441876403809801</c:v>
                </c:pt>
                <c:pt idx="17">
                  <c:v>2.9696737509189655</c:v>
                </c:pt>
                <c:pt idx="18">
                  <c:v>2.9714558413296466</c:v>
                </c:pt>
                <c:pt idx="19">
                  <c:v>2.9502577388071436</c:v>
                </c:pt>
                <c:pt idx="20">
                  <c:v>2.9502577388071436</c:v>
                </c:pt>
                <c:pt idx="21">
                  <c:v>3.0354374878234549</c:v>
                </c:pt>
                <c:pt idx="22">
                  <c:v>3.0928010360091567</c:v>
                </c:pt>
                <c:pt idx="23">
                  <c:v>3.1171771831931006</c:v>
                </c:pt>
                <c:pt idx="24">
                  <c:v>3.1043515448944126</c:v>
                </c:pt>
                <c:pt idx="25">
                  <c:v>3.0513968337553918</c:v>
                </c:pt>
                <c:pt idx="26">
                  <c:v>2.9569219381653076</c:v>
                </c:pt>
                <c:pt idx="27">
                  <c:v>2.8212218186829841</c:v>
                </c:pt>
                <c:pt idx="28">
                  <c:v>2.6463170699408591</c:v>
                </c:pt>
                <c:pt idx="29">
                  <c:v>2.4358796056657734</c:v>
                </c:pt>
                <c:pt idx="30">
                  <c:v>2.1950487941686783</c:v>
                </c:pt>
                <c:pt idx="31">
                  <c:v>1.9301499598187939</c:v>
                </c:pt>
                <c:pt idx="32">
                  <c:v>1.6483339501604655</c:v>
                </c:pt>
                <c:pt idx="33">
                  <c:v>1.3571619806165423</c:v>
                </c:pt>
                <c:pt idx="34">
                  <c:v>1.0641638280063548</c:v>
                </c:pt>
                <c:pt idx="35">
                  <c:v>0.77639938208933013</c:v>
                </c:pt>
                <c:pt idx="36">
                  <c:v>0.50005344402677165</c:v>
                </c:pt>
                <c:pt idx="37">
                  <c:v>0.2400914858293304</c:v>
                </c:pt>
                <c:pt idx="38">
                  <c:v>6.1589851358603502E-15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39840"/>
        <c:axId val="92741632"/>
      </c:scatterChart>
      <c:valAx>
        <c:axId val="92739840"/>
        <c:scaling>
          <c:orientation val="minMax"/>
          <c:max val="6.6000000000000014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741632"/>
        <c:crosses val="autoZero"/>
        <c:crossBetween val="midCat"/>
        <c:majorUnit val="1"/>
        <c:minorUnit val="0.5"/>
      </c:valAx>
      <c:valAx>
        <c:axId val="92741632"/>
        <c:scaling>
          <c:orientation val="minMax"/>
          <c:max val="4.253456221198157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7398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5642458100561E-2"/>
          <c:y val="6.5088882767972547E-2"/>
          <c:w val="0.88268156424581001"/>
          <c:h val="0.87179655101345044"/>
        </c:manualLayout>
      </c:layout>
      <c:scatterChart>
        <c:scatterStyle val="lineMarker"/>
        <c:varyColors val="0"/>
        <c:ser>
          <c:idx val="0"/>
          <c:order val="0"/>
          <c:tx>
            <c:v>arch axis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N_c!$B$2:$B$40</c:f>
              <c:numCache>
                <c:formatCode>General</c:formatCode>
                <c:ptCount val="39"/>
                <c:pt idx="0">
                  <c:v>0</c:v>
                </c:pt>
                <c:pt idx="1">
                  <c:v>1.1415905724763364E-2</c:v>
                </c:pt>
                <c:pt idx="2">
                  <c:v>4.5576740963375939E-2</c:v>
                </c:pt>
                <c:pt idx="3">
                  <c:v>0.10222252113279506</c:v>
                </c:pt>
                <c:pt idx="4">
                  <c:v>0.18092213764227472</c:v>
                </c:pt>
                <c:pt idx="5">
                  <c:v>0.28107663889005019</c:v>
                </c:pt>
                <c:pt idx="6">
                  <c:v>0.40192378864668388</c:v>
                </c:pt>
                <c:pt idx="7">
                  <c:v>0.5425438671330246</c:v>
                </c:pt>
                <c:pt idx="8">
                  <c:v>0.70186667064306596</c:v>
                </c:pt>
                <c:pt idx="9">
                  <c:v>0.87867965644035728</c:v>
                </c:pt>
                <c:pt idx="10">
                  <c:v>1.0716371709403818</c:v>
                </c:pt>
                <c:pt idx="11">
                  <c:v>1.2792706909468614</c:v>
                </c:pt>
                <c:pt idx="12">
                  <c:v>1.4999999999999996</c:v>
                </c:pt>
                <c:pt idx="13">
                  <c:v>1.4999999999999996</c:v>
                </c:pt>
                <c:pt idx="14">
                  <c:v>1.7321452147779013</c:v>
                </c:pt>
                <c:pt idx="15">
                  <c:v>1.9739395700229927</c:v>
                </c:pt>
                <c:pt idx="16">
                  <c:v>2.2235428646924364</c:v>
                </c:pt>
                <c:pt idx="17">
                  <c:v>2.4790554669992075</c:v>
                </c:pt>
                <c:pt idx="18">
                  <c:v>2.7385327717570238</c:v>
                </c:pt>
                <c:pt idx="19">
                  <c:v>2.9999999999999978</c:v>
                </c:pt>
                <c:pt idx="20">
                  <c:v>2.9999999999999978</c:v>
                </c:pt>
                <c:pt idx="21">
                  <c:v>3.2614672282429717</c:v>
                </c:pt>
                <c:pt idx="22">
                  <c:v>3.5209445330007885</c:v>
                </c:pt>
                <c:pt idx="23">
                  <c:v>3.7764571353075596</c:v>
                </c:pt>
                <c:pt idx="24">
                  <c:v>4.0260604299770026</c:v>
                </c:pt>
                <c:pt idx="25">
                  <c:v>4.2678547852220952</c:v>
                </c:pt>
                <c:pt idx="26">
                  <c:v>4.4999999999999973</c:v>
                </c:pt>
                <c:pt idx="27">
                  <c:v>4.7207293090531355</c:v>
                </c:pt>
                <c:pt idx="28">
                  <c:v>4.9283628290596155</c:v>
                </c:pt>
                <c:pt idx="29">
                  <c:v>5.1213203435596402</c:v>
                </c:pt>
                <c:pt idx="30">
                  <c:v>5.298133329356931</c:v>
                </c:pt>
                <c:pt idx="31">
                  <c:v>5.4574561328669731</c:v>
                </c:pt>
                <c:pt idx="32">
                  <c:v>5.5980762113533142</c:v>
                </c:pt>
                <c:pt idx="33">
                  <c:v>5.7189233611099475</c:v>
                </c:pt>
                <c:pt idx="34">
                  <c:v>5.8190778623577231</c:v>
                </c:pt>
                <c:pt idx="35">
                  <c:v>5.8977774788672033</c:v>
                </c:pt>
                <c:pt idx="36">
                  <c:v>5.9544232590366235</c:v>
                </c:pt>
                <c:pt idx="37">
                  <c:v>5.988584094275236</c:v>
                </c:pt>
                <c:pt idx="38">
                  <c:v>6</c:v>
                </c:pt>
              </c:numCache>
            </c:numRef>
          </c:xVal>
          <c:yVal>
            <c:numRef>
              <c:f>N_c!$C$2:$C$40</c:f>
              <c:numCache>
                <c:formatCode>General</c:formatCode>
                <c:ptCount val="39"/>
                <c:pt idx="0">
                  <c:v>0</c:v>
                </c:pt>
                <c:pt idx="1">
                  <c:v>0.26146722824297453</c:v>
                </c:pt>
                <c:pt idx="2">
                  <c:v>0.52094453300079102</c:v>
                </c:pt>
                <c:pt idx="3">
                  <c:v>0.77645713530756222</c:v>
                </c:pt>
                <c:pt idx="4">
                  <c:v>1.0260604299770062</c:v>
                </c:pt>
                <c:pt idx="5">
                  <c:v>1.2678547852220983</c:v>
                </c:pt>
                <c:pt idx="6">
                  <c:v>1.4999999999999998</c:v>
                </c:pt>
                <c:pt idx="7">
                  <c:v>1.7207293090531381</c:v>
                </c:pt>
                <c:pt idx="8">
                  <c:v>1.9283628290596178</c:v>
                </c:pt>
                <c:pt idx="9">
                  <c:v>2.1213203435596424</c:v>
                </c:pt>
                <c:pt idx="10">
                  <c:v>2.2981333293569342</c:v>
                </c:pt>
                <c:pt idx="11">
                  <c:v>2.4574561328669753</c:v>
                </c:pt>
                <c:pt idx="12">
                  <c:v>2.598076211353316</c:v>
                </c:pt>
                <c:pt idx="13">
                  <c:v>2.598076211353316</c:v>
                </c:pt>
                <c:pt idx="14">
                  <c:v>2.7189233611099493</c:v>
                </c:pt>
                <c:pt idx="15">
                  <c:v>2.8190778623577248</c:v>
                </c:pt>
                <c:pt idx="16">
                  <c:v>2.8977774788672046</c:v>
                </c:pt>
                <c:pt idx="17">
                  <c:v>2.9544232590366239</c:v>
                </c:pt>
                <c:pt idx="18">
                  <c:v>2.9885840942752364</c:v>
                </c:pt>
                <c:pt idx="19">
                  <c:v>3</c:v>
                </c:pt>
                <c:pt idx="20">
                  <c:v>3</c:v>
                </c:pt>
                <c:pt idx="21">
                  <c:v>2.9885840942752369</c:v>
                </c:pt>
                <c:pt idx="22">
                  <c:v>2.9544232590366248</c:v>
                </c:pt>
                <c:pt idx="23">
                  <c:v>2.8977774788672055</c:v>
                </c:pt>
                <c:pt idx="24">
                  <c:v>2.8190778623577262</c:v>
                </c:pt>
                <c:pt idx="25">
                  <c:v>2.718923361109951</c:v>
                </c:pt>
                <c:pt idx="26">
                  <c:v>2.5980762113533173</c:v>
                </c:pt>
                <c:pt idx="27">
                  <c:v>2.4574561328669775</c:v>
                </c:pt>
                <c:pt idx="28">
                  <c:v>2.2981333293569368</c:v>
                </c:pt>
                <c:pt idx="29">
                  <c:v>2.1213203435596455</c:v>
                </c:pt>
                <c:pt idx="30">
                  <c:v>1.9283628290596213</c:v>
                </c:pt>
                <c:pt idx="31">
                  <c:v>1.7207293090531421</c:v>
                </c:pt>
                <c:pt idx="32">
                  <c:v>1.5000000000000044</c:v>
                </c:pt>
                <c:pt idx="33">
                  <c:v>1.2678547852221034</c:v>
                </c:pt>
                <c:pt idx="34">
                  <c:v>1.0260604299770115</c:v>
                </c:pt>
                <c:pt idx="35">
                  <c:v>0.77645713530756821</c:v>
                </c:pt>
                <c:pt idx="36">
                  <c:v>0.52094453300079735</c:v>
                </c:pt>
                <c:pt idx="37">
                  <c:v>0.26146722824298119</c:v>
                </c:pt>
                <c:pt idx="38">
                  <c:v>7.0288826842235252E-15</c:v>
                </c:pt>
              </c:numCache>
            </c:numRef>
          </c:yVal>
          <c:smooth val="0"/>
        </c:ser>
        <c:ser>
          <c:idx val="1"/>
          <c:order val="1"/>
          <c:tx>
            <c:v>axial force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N_c!$E$2:$E$40</c:f>
              <c:numCache>
                <c:formatCode>General</c:formatCode>
                <c:ptCount val="39"/>
                <c:pt idx="0">
                  <c:v>-0.28537542296924812</c:v>
                </c:pt>
                <c:pt idx="1">
                  <c:v>-0.27179177028948753</c:v>
                </c:pt>
                <c:pt idx="2">
                  <c:v>-0.23119356008017805</c:v>
                </c:pt>
                <c:pt idx="3">
                  <c:v>-0.16403637330537807</c:v>
                </c:pt>
                <c:pt idx="4">
                  <c:v>-7.1070702326509638E-2</c:v>
                </c:pt>
                <c:pt idx="5">
                  <c:v>4.6671034408582085E-2</c:v>
                </c:pt>
                <c:pt idx="6">
                  <c:v>0.18789222141974776</c:v>
                </c:pt>
                <c:pt idx="7">
                  <c:v>0.35105408411561778</c:v>
                </c:pt>
                <c:pt idx="8">
                  <c:v>0.53440149808367221</c:v>
                </c:pt>
                <c:pt idx="9">
                  <c:v>0.73599194495573317</c:v>
                </c:pt>
                <c:pt idx="10">
                  <c:v>0.95372692053052743</c:v>
                </c:pt>
                <c:pt idx="11">
                  <c:v>1.1853850509950201</c:v>
                </c:pt>
                <c:pt idx="12">
                  <c:v>1.4286561442576875</c:v>
                </c:pt>
                <c:pt idx="13">
                  <c:v>1.4286561442576875</c:v>
                </c:pt>
                <c:pt idx="14">
                  <c:v>1.6699093046452134</c:v>
                </c:pt>
                <c:pt idx="15">
                  <c:v>1.9223913376785227</c:v>
                </c:pt>
                <c:pt idx="16">
                  <c:v>2.1839373026334092</c:v>
                </c:pt>
                <c:pt idx="17">
                  <c:v>2.452284695729507</c:v>
                </c:pt>
                <c:pt idx="18">
                  <c:v>2.7250989331571187</c:v>
                </c:pt>
                <c:pt idx="19">
                  <c:v>2.9999999999999978</c:v>
                </c:pt>
                <c:pt idx="20">
                  <c:v>2.9999999999999978</c:v>
                </c:pt>
                <c:pt idx="21">
                  <c:v>3.2749947849334591</c:v>
                </c:pt>
                <c:pt idx="22">
                  <c:v>3.5496827584572253</c:v>
                </c:pt>
                <c:pt idx="23">
                  <c:v>3.8239235915583882</c:v>
                </c:pt>
                <c:pt idx="24">
                  <c:v>4.097289652225939</c:v>
                </c:pt>
                <c:pt idx="25">
                  <c:v>4.3689464271754588</c:v>
                </c:pt>
                <c:pt idx="26">
                  <c:v>4.6375654531026331</c:v>
                </c:pt>
                <c:pt idx="27">
                  <c:v>4.9012770450727672</c:v>
                </c:pt>
                <c:pt idx="28">
                  <c:v>5.1576673055943223</c:v>
                </c:pt>
                <c:pt idx="29">
                  <c:v>5.4038207722330718</c:v>
                </c:pt>
                <c:pt idx="30">
                  <c:v>5.636406829704768</c:v>
                </c:pt>
                <c:pt idx="31">
                  <c:v>5.851804897135688</c:v>
                </c:pt>
                <c:pt idx="32">
                  <c:v>6.046260617729617</c:v>
                </c:pt>
                <c:pt idx="33">
                  <c:v>6.2160630190471036</c:v>
                </c:pt>
                <c:pt idx="34">
                  <c:v>6.3577310343952078</c:v>
                </c:pt>
                <c:pt idx="35">
                  <c:v>6.4681969898666045</c:v>
                </c:pt>
                <c:pt idx="36">
                  <c:v>6.5449747236929818</c:v>
                </c:pt>
                <c:pt idx="37">
                  <c:v>6.586300913130283</c:v>
                </c:pt>
                <c:pt idx="38">
                  <c:v>6.5912398794664497</c:v>
                </c:pt>
              </c:numCache>
            </c:numRef>
          </c:xVal>
          <c:yVal>
            <c:numRef>
              <c:f>N_c!$F$2:$F$40</c:f>
              <c:numCache>
                <c:formatCode>General</c:formatCode>
                <c:ptCount val="39"/>
                <c:pt idx="0">
                  <c:v>0</c:v>
                </c:pt>
                <c:pt idx="1">
                  <c:v>0.28624468931774422</c:v>
                </c:pt>
                <c:pt idx="2">
                  <c:v>0.56974660453357384</c:v>
                </c:pt>
                <c:pt idx="3">
                  <c:v>0.84780099104987428</c:v>
                </c:pt>
                <c:pt idx="4">
                  <c:v>1.1177783229738503</c:v>
                </c:pt>
                <c:pt idx="5">
                  <c:v>1.3771599137062585</c:v>
                </c:pt>
                <c:pt idx="6">
                  <c:v>1.6235711829535489</c:v>
                </c:pt>
                <c:pt idx="7">
                  <c:v>1.8548118986120681</c:v>
                </c:pt>
                <c:pt idx="8">
                  <c:v>2.0688827935892444</c:v>
                </c:pt>
                <c:pt idx="9">
                  <c:v>2.2640080550442665</c:v>
                </c:pt>
                <c:pt idx="10">
                  <c:v>2.4386532938865608</c:v>
                </c:pt>
                <c:pt idx="11">
                  <c:v>2.5915387224259052</c:v>
                </c:pt>
                <c:pt idx="12">
                  <c:v>2.7216473943068653</c:v>
                </c:pt>
                <c:pt idx="13">
                  <c:v>2.7216473943068653</c:v>
                </c:pt>
                <c:pt idx="14">
                  <c:v>2.8523887010937097</c:v>
                </c:pt>
                <c:pt idx="15">
                  <c:v>2.9607054667369566</c:v>
                </c:pt>
                <c:pt idx="16">
                  <c:v>3.0455874487338166</c:v>
                </c:pt>
                <c:pt idx="17">
                  <c:v>3.1062478474356192</c:v>
                </c:pt>
                <c:pt idx="18">
                  <c:v>3.1421335720990062</c:v>
                </c:pt>
                <c:pt idx="19">
                  <c:v>3.1529322282486003</c:v>
                </c:pt>
                <c:pt idx="20">
                  <c:v>3.1529322282486003</c:v>
                </c:pt>
                <c:pt idx="21">
                  <c:v>3.1432047747760761</c:v>
                </c:pt>
                <c:pt idx="22">
                  <c:v>3.1174058345957918</c:v>
                </c:pt>
                <c:pt idx="23">
                  <c:v>3.0749247052505448</c:v>
                </c:pt>
                <c:pt idx="24">
                  <c:v>3.0147785420919937</c:v>
                </c:pt>
                <c:pt idx="25">
                  <c:v>2.9357150868846142</c:v>
                </c:pt>
                <c:pt idx="26">
                  <c:v>2.8363465654933164</c:v>
                </c:pt>
                <c:pt idx="27">
                  <c:v>2.7153050221852166</c:v>
                </c:pt>
                <c:pt idx="28">
                  <c:v>2.5714077630651095</c:v>
                </c:pt>
                <c:pt idx="29">
                  <c:v>2.403820772233078</c:v>
                </c:pt>
                <c:pt idx="30">
                  <c:v>2.2122079984385401</c:v>
                </c:pt>
                <c:pt idx="31">
                  <c:v>1.9968552864777811</c:v>
                </c:pt>
                <c:pt idx="32">
                  <c:v>1.7587593876679566</c:v>
                </c:pt>
                <c:pt idx="33">
                  <c:v>1.499674814890757</c:v>
                </c:pt>
                <c:pt idx="34">
                  <c:v>1.2221141511917291</c:v>
                </c:pt>
                <c:pt idx="35">
                  <c:v>0.92930058262681503</c:v>
                </c:pt>
                <c:pt idx="36">
                  <c:v>0.62507468971661606</c:v>
                </c:pt>
                <c:pt idx="37">
                  <c:v>0.31376067389157741</c:v>
                </c:pt>
                <c:pt idx="38">
                  <c:v>8.4141346012249015E-15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95648"/>
        <c:axId val="92797184"/>
      </c:scatterChart>
      <c:valAx>
        <c:axId val="92795648"/>
        <c:scaling>
          <c:orientation val="minMax"/>
          <c:max val="7.3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797184"/>
        <c:crosses val="autoZero"/>
        <c:crossBetween val="midCat"/>
        <c:majorUnit val="1"/>
      </c:valAx>
      <c:valAx>
        <c:axId val="92797184"/>
        <c:scaling>
          <c:orientation val="minMax"/>
          <c:max val="4.025527426160337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7956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47626339969371E-2"/>
          <c:y val="5.6310679611650483E-2"/>
          <c:w val="0.91883614088820831"/>
          <c:h val="0.889320388349514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M_p!$A$2:$A$44</c:f>
              <c:numCache>
                <c:formatCode>General</c:formatCode>
                <c:ptCount val="43"/>
                <c:pt idx="0">
                  <c:v>0</c:v>
                </c:pt>
                <c:pt idx="1">
                  <c:v>0.15000000000000002</c:v>
                </c:pt>
                <c:pt idx="2">
                  <c:v>0.30000000000000004</c:v>
                </c:pt>
                <c:pt idx="3">
                  <c:v>0.45000000000000007</c:v>
                </c:pt>
                <c:pt idx="4">
                  <c:v>0.60000000000000009</c:v>
                </c:pt>
                <c:pt idx="5">
                  <c:v>0.75000000000000011</c:v>
                </c:pt>
                <c:pt idx="6">
                  <c:v>0.90000000000000013</c:v>
                </c:pt>
                <c:pt idx="7">
                  <c:v>1.0500000000000003</c:v>
                </c:pt>
                <c:pt idx="8">
                  <c:v>1.2000000000000002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1.7999999999999998</c:v>
                </c:pt>
                <c:pt idx="13">
                  <c:v>1.9499999999999997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2.9999999999999991</c:v>
                </c:pt>
                <c:pt idx="22">
                  <c:v>3.149999999999999</c:v>
                </c:pt>
                <c:pt idx="23">
                  <c:v>3.2999999999999989</c:v>
                </c:pt>
                <c:pt idx="24">
                  <c:v>3.4499999999999988</c:v>
                </c:pt>
                <c:pt idx="25">
                  <c:v>3.5999999999999988</c:v>
                </c:pt>
                <c:pt idx="26">
                  <c:v>3.7499999999999987</c:v>
                </c:pt>
                <c:pt idx="27">
                  <c:v>3.8999999999999986</c:v>
                </c:pt>
                <c:pt idx="28">
                  <c:v>4.0499999999999989</c:v>
                </c:pt>
                <c:pt idx="29">
                  <c:v>4.1999999999999993</c:v>
                </c:pt>
                <c:pt idx="30">
                  <c:v>4.3499999999999996</c:v>
                </c:pt>
                <c:pt idx="31">
                  <c:v>4.5</c:v>
                </c:pt>
                <c:pt idx="32">
                  <c:v>4.5</c:v>
                </c:pt>
                <c:pt idx="33">
                  <c:v>4.6500000000000004</c:v>
                </c:pt>
                <c:pt idx="34">
                  <c:v>4.8000000000000007</c:v>
                </c:pt>
                <c:pt idx="35">
                  <c:v>4.9500000000000011</c:v>
                </c:pt>
                <c:pt idx="36">
                  <c:v>5.1000000000000014</c:v>
                </c:pt>
                <c:pt idx="37">
                  <c:v>5.2500000000000018</c:v>
                </c:pt>
                <c:pt idx="38">
                  <c:v>5.4000000000000021</c:v>
                </c:pt>
                <c:pt idx="39">
                  <c:v>5.5500000000000025</c:v>
                </c:pt>
                <c:pt idx="40">
                  <c:v>5.7000000000000028</c:v>
                </c:pt>
                <c:pt idx="41">
                  <c:v>5.8500000000000032</c:v>
                </c:pt>
                <c:pt idx="42">
                  <c:v>6.0000000000000036</c:v>
                </c:pt>
              </c:numCache>
            </c:numRef>
          </c:xVal>
          <c:yVal>
            <c:numRef>
              <c:f>M_p!$B$2:$B$44</c:f>
              <c:numCache>
                <c:formatCode>General</c:formatCode>
                <c:ptCount val="43"/>
                <c:pt idx="0">
                  <c:v>0</c:v>
                </c:pt>
                <c:pt idx="1">
                  <c:v>0.39000000000000007</c:v>
                </c:pt>
                <c:pt idx="2">
                  <c:v>0.76</c:v>
                </c:pt>
                <c:pt idx="3">
                  <c:v>1.1099999999999999</c:v>
                </c:pt>
                <c:pt idx="4">
                  <c:v>1.44</c:v>
                </c:pt>
                <c:pt idx="5">
                  <c:v>1.7500000000000002</c:v>
                </c:pt>
                <c:pt idx="6">
                  <c:v>2.04</c:v>
                </c:pt>
                <c:pt idx="7">
                  <c:v>2.3100000000000005</c:v>
                </c:pt>
                <c:pt idx="8">
                  <c:v>2.56</c:v>
                </c:pt>
                <c:pt idx="9">
                  <c:v>2.7900000000000005</c:v>
                </c:pt>
                <c:pt idx="10">
                  <c:v>3</c:v>
                </c:pt>
                <c:pt idx="11">
                  <c:v>3.1899999999999991</c:v>
                </c:pt>
                <c:pt idx="12">
                  <c:v>3.3599999999999994</c:v>
                </c:pt>
                <c:pt idx="13">
                  <c:v>3.5100000000000002</c:v>
                </c:pt>
                <c:pt idx="14">
                  <c:v>3.6399999999999997</c:v>
                </c:pt>
                <c:pt idx="15">
                  <c:v>3.7499999999999991</c:v>
                </c:pt>
                <c:pt idx="16">
                  <c:v>3.84</c:v>
                </c:pt>
                <c:pt idx="17">
                  <c:v>3.9099999999999997</c:v>
                </c:pt>
                <c:pt idx="18">
                  <c:v>3.96</c:v>
                </c:pt>
                <c:pt idx="19">
                  <c:v>3.9899999999999993</c:v>
                </c:pt>
                <c:pt idx="20">
                  <c:v>3.9999999999999991</c:v>
                </c:pt>
                <c:pt idx="21">
                  <c:v>3.9999999999999991</c:v>
                </c:pt>
                <c:pt idx="22">
                  <c:v>3.99</c:v>
                </c:pt>
                <c:pt idx="23">
                  <c:v>3.96</c:v>
                </c:pt>
                <c:pt idx="24">
                  <c:v>3.9099999999999997</c:v>
                </c:pt>
                <c:pt idx="25">
                  <c:v>3.8400000000000016</c:v>
                </c:pt>
                <c:pt idx="26">
                  <c:v>3.7500000000000013</c:v>
                </c:pt>
                <c:pt idx="27">
                  <c:v>3.640000000000001</c:v>
                </c:pt>
                <c:pt idx="28">
                  <c:v>3.5100000000000002</c:v>
                </c:pt>
                <c:pt idx="29">
                  <c:v>3.3600000000000008</c:v>
                </c:pt>
                <c:pt idx="30">
                  <c:v>3.1900000000000008</c:v>
                </c:pt>
                <c:pt idx="31">
                  <c:v>3</c:v>
                </c:pt>
                <c:pt idx="32">
                  <c:v>3</c:v>
                </c:pt>
                <c:pt idx="33">
                  <c:v>2.7899999999999996</c:v>
                </c:pt>
                <c:pt idx="34">
                  <c:v>2.5599999999999992</c:v>
                </c:pt>
                <c:pt idx="35">
                  <c:v>2.3099999999999974</c:v>
                </c:pt>
                <c:pt idx="36">
                  <c:v>2.0399999999999965</c:v>
                </c:pt>
                <c:pt idx="37">
                  <c:v>1.7499999999999967</c:v>
                </c:pt>
                <c:pt idx="38">
                  <c:v>1.4399999999999962</c:v>
                </c:pt>
                <c:pt idx="39">
                  <c:v>1.109999999999993</c:v>
                </c:pt>
                <c:pt idx="40">
                  <c:v>0.75999999999999401</c:v>
                </c:pt>
                <c:pt idx="41">
                  <c:v>0.38999999999999263</c:v>
                </c:pt>
                <c:pt idx="42">
                  <c:v>-9.473903143468002E-15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M_p!$G$2:$G$44</c:f>
              <c:numCache>
                <c:formatCode>General</c:formatCode>
                <c:ptCount val="43"/>
                <c:pt idx="0">
                  <c:v>0</c:v>
                </c:pt>
                <c:pt idx="1">
                  <c:v>0.153534589841059</c:v>
                </c:pt>
                <c:pt idx="2">
                  <c:v>0.31329230769230787</c:v>
                </c:pt>
                <c:pt idx="3">
                  <c:v>0.47799648472813222</c:v>
                </c:pt>
                <c:pt idx="4">
                  <c:v>0.64635949752109467</c:v>
                </c:pt>
                <c:pt idx="5">
                  <c:v>0.81708203932499368</c:v>
                </c:pt>
                <c:pt idx="6">
                  <c:v>0.98885318097890174</c:v>
                </c:pt>
                <c:pt idx="7">
                  <c:v>1.1603520436625925</c:v>
                </c:pt>
                <c:pt idx="8">
                  <c:v>1.3302525394951823</c:v>
                </c:pt>
                <c:pt idx="9">
                  <c:v>1.4972337124883042</c:v>
                </c:pt>
                <c:pt idx="10">
                  <c:v>1.66</c:v>
                </c:pt>
                <c:pt idx="11">
                  <c:v>1.8173185946963095</c:v>
                </c:pt>
                <c:pt idx="12">
                  <c:v>1.9680853718338764</c:v>
                </c:pt>
                <c:pt idx="13">
                  <c:v>2.1114364980351774</c:v>
                </c:pt>
                <c:pt idx="14">
                  <c:v>2.2469282751848003</c:v>
                </c:pt>
                <c:pt idx="15">
                  <c:v>2.3748075441506766</c:v>
                </c:pt>
                <c:pt idx="16">
                  <c:v>2.4963764705882348</c:v>
                </c:pt>
                <c:pt idx="17">
                  <c:v>2.6143991432798011</c:v>
                </c:pt>
                <c:pt idx="18">
                  <c:v>2.7333930795126182</c:v>
                </c:pt>
                <c:pt idx="19">
                  <c:v>2.8595422205905709</c:v>
                </c:pt>
                <c:pt idx="20">
                  <c:v>2.9999999999999991</c:v>
                </c:pt>
                <c:pt idx="21">
                  <c:v>2.9999999999999991</c:v>
                </c:pt>
                <c:pt idx="22">
                  <c:v>3.1584584780858243</c:v>
                </c:pt>
                <c:pt idx="23">
                  <c:v>3.3247356144537914</c:v>
                </c:pt>
                <c:pt idx="24">
                  <c:v>3.485653504929993</c:v>
                </c:pt>
                <c:pt idx="25">
                  <c:v>3.6301176470588237</c:v>
                </c:pt>
                <c:pt idx="26">
                  <c:v>3.7499999999999987</c:v>
                </c:pt>
                <c:pt idx="27">
                  <c:v>3.8400292754347749</c:v>
                </c:pt>
                <c:pt idx="28">
                  <c:v>3.8971607119193581</c:v>
                </c:pt>
                <c:pt idx="29">
                  <c:v>3.919857713610206</c:v>
                </c:pt>
                <c:pt idx="30">
                  <c:v>3.9075045429519113</c:v>
                </c:pt>
                <c:pt idx="31">
                  <c:v>3.86</c:v>
                </c:pt>
                <c:pt idx="32">
                  <c:v>3.86</c:v>
                </c:pt>
                <c:pt idx="33">
                  <c:v>4.0947752256333301</c:v>
                </c:pt>
                <c:pt idx="34">
                  <c:v>4.3296436073785127</c:v>
                </c:pt>
                <c:pt idx="35">
                  <c:v>4.5619488574502283</c:v>
                </c:pt>
                <c:pt idx="36">
                  <c:v>4.7897190505498699</c:v>
                </c:pt>
                <c:pt idx="37">
                  <c:v>5.011486082400026</c:v>
                </c:pt>
                <c:pt idx="38">
                  <c:v>5.2261518842958994</c:v>
                </c:pt>
                <c:pt idx="39">
                  <c:v>5.4328905213986651</c:v>
                </c:pt>
                <c:pt idx="40">
                  <c:v>5.631076923076928</c:v>
                </c:pt>
                <c:pt idx="41">
                  <c:v>5.8202350329174015</c:v>
                </c:pt>
                <c:pt idx="42">
                  <c:v>6.0000000000000053</c:v>
                </c:pt>
              </c:numCache>
            </c:numRef>
          </c:xVal>
          <c:yVal>
            <c:numRef>
              <c:f>M_p!$H$2:$H$44</c:f>
              <c:numCache>
                <c:formatCode>General</c:formatCode>
                <c:ptCount val="43"/>
                <c:pt idx="0">
                  <c:v>0</c:v>
                </c:pt>
                <c:pt idx="1">
                  <c:v>0.38860476716800313</c:v>
                </c:pt>
                <c:pt idx="2">
                  <c:v>0.75446153846153841</c:v>
                </c:pt>
                <c:pt idx="3">
                  <c:v>1.097648609678765</c:v>
                </c:pt>
                <c:pt idx="4">
                  <c:v>1.4182689855369868</c:v>
                </c:pt>
                <c:pt idx="5">
                  <c:v>1.7164589803375034</c:v>
                </c:pt>
                <c:pt idx="6">
                  <c:v>1.9924000816184455</c:v>
                </c:pt>
                <c:pt idx="7">
                  <c:v>2.2463353594254283</c:v>
                </c:pt>
                <c:pt idx="8">
                  <c:v>2.4785921628155112</c:v>
                </c:pt>
                <c:pt idx="9">
                  <c:v>2.6896133778488842</c:v>
                </c:pt>
                <c:pt idx="10">
                  <c:v>2.88</c:v>
                </c:pt>
                <c:pt idx="11">
                  <c:v>3.0505678377530745</c:v>
                </c:pt>
                <c:pt idx="12">
                  <c:v>3.20241996390574</c:v>
                </c:pt>
                <c:pt idx="13">
                  <c:v>3.3370323235337387</c:v>
                </c:pt>
                <c:pt idx="14">
                  <c:v>3.4563396560189985</c:v>
                </c:pt>
                <c:pt idx="15">
                  <c:v>3.5627886837739835</c:v>
                </c:pt>
                <c:pt idx="16">
                  <c:v>3.6592941176470588</c:v>
                </c:pt>
                <c:pt idx="17">
                  <c:v>3.7490021418004962</c:v>
                </c:pt>
                <c:pt idx="18">
                  <c:v>3.8347759518276785</c:v>
                </c:pt>
                <c:pt idx="19">
                  <c:v>3.918433345570711</c:v>
                </c:pt>
                <c:pt idx="20">
                  <c:v>3.999999999999996</c:v>
                </c:pt>
                <c:pt idx="21">
                  <c:v>3.999999999999996</c:v>
                </c:pt>
                <c:pt idx="22">
                  <c:v>4.0534385856436899</c:v>
                </c:pt>
                <c:pt idx="23">
                  <c:v>4.0527585542017217</c:v>
                </c:pt>
                <c:pt idx="24">
                  <c:v>3.9991337623249854</c:v>
                </c:pt>
                <c:pt idx="25">
                  <c:v>3.8964705882352981</c:v>
                </c:pt>
                <c:pt idx="26">
                  <c:v>3.7500000000000013</c:v>
                </c:pt>
                <c:pt idx="27">
                  <c:v>3.5650365942934714</c:v>
                </c:pt>
                <c:pt idx="28">
                  <c:v>3.346243619913599</c:v>
                </c:pt>
                <c:pt idx="29">
                  <c:v>3.0973666065095693</c:v>
                </c:pt>
                <c:pt idx="30">
                  <c:v>2.8212537857932602</c:v>
                </c:pt>
                <c:pt idx="31">
                  <c:v>2.52</c:v>
                </c:pt>
                <c:pt idx="32">
                  <c:v>2.52</c:v>
                </c:pt>
                <c:pt idx="33">
                  <c:v>2.4114376538409066</c:v>
                </c:pt>
                <c:pt idx="34">
                  <c:v>2.266027254611569</c:v>
                </c:pt>
                <c:pt idx="35">
                  <c:v>2.0861243408366668</c:v>
                </c:pt>
                <c:pt idx="36">
                  <c:v>1.8737780627945688</c:v>
                </c:pt>
                <c:pt idx="37">
                  <c:v>1.630743041200009</c:v>
                </c:pt>
                <c:pt idx="38">
                  <c:v>1.358508695763698</c:v>
                </c:pt>
                <c:pt idx="39">
                  <c:v>1.0583340535582266</c:v>
                </c:pt>
                <c:pt idx="40">
                  <c:v>0.73128205128204626</c:v>
                </c:pt>
                <c:pt idx="41">
                  <c:v>0.37825067088843933</c:v>
                </c:pt>
                <c:pt idx="42">
                  <c:v>-8.9416616271464723E-15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50272"/>
        <c:axId val="92551808"/>
      </c:scatterChart>
      <c:valAx>
        <c:axId val="92550272"/>
        <c:scaling>
          <c:orientation val="minMax"/>
          <c:max val="6.7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551808"/>
        <c:crossesAt val="0"/>
        <c:crossBetween val="midCat"/>
        <c:majorUnit val="1"/>
        <c:minorUnit val="0.5"/>
      </c:valAx>
      <c:valAx>
        <c:axId val="92551808"/>
        <c:scaling>
          <c:orientation val="minMax"/>
          <c:max val="4.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5502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17717457039955E-2"/>
          <c:y val="5.5984555984555984E-2"/>
          <c:w val="0.91340015031427169"/>
          <c:h val="0.8899613899613899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Q_p!$A$2:$A$44</c:f>
              <c:numCache>
                <c:formatCode>General</c:formatCode>
                <c:ptCount val="43"/>
                <c:pt idx="0">
                  <c:v>0</c:v>
                </c:pt>
                <c:pt idx="1">
                  <c:v>0.15000000000000002</c:v>
                </c:pt>
                <c:pt idx="2">
                  <c:v>0.30000000000000004</c:v>
                </c:pt>
                <c:pt idx="3">
                  <c:v>0.45000000000000007</c:v>
                </c:pt>
                <c:pt idx="4">
                  <c:v>0.60000000000000009</c:v>
                </c:pt>
                <c:pt idx="5">
                  <c:v>0.75000000000000011</c:v>
                </c:pt>
                <c:pt idx="6">
                  <c:v>0.90000000000000013</c:v>
                </c:pt>
                <c:pt idx="7">
                  <c:v>1.0500000000000003</c:v>
                </c:pt>
                <c:pt idx="8">
                  <c:v>1.2000000000000002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1.7999999999999998</c:v>
                </c:pt>
                <c:pt idx="13">
                  <c:v>1.9499999999999997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2.9999999999999991</c:v>
                </c:pt>
                <c:pt idx="22">
                  <c:v>3.149999999999999</c:v>
                </c:pt>
                <c:pt idx="23">
                  <c:v>3.2999999999999989</c:v>
                </c:pt>
                <c:pt idx="24">
                  <c:v>3.4499999999999988</c:v>
                </c:pt>
                <c:pt idx="25">
                  <c:v>3.5999999999999988</c:v>
                </c:pt>
                <c:pt idx="26">
                  <c:v>3.7499999999999987</c:v>
                </c:pt>
                <c:pt idx="27">
                  <c:v>3.8999999999999986</c:v>
                </c:pt>
                <c:pt idx="28">
                  <c:v>4.0499999999999989</c:v>
                </c:pt>
                <c:pt idx="29">
                  <c:v>4.1999999999999993</c:v>
                </c:pt>
                <c:pt idx="30">
                  <c:v>4.3499999999999996</c:v>
                </c:pt>
                <c:pt idx="31">
                  <c:v>4.5</c:v>
                </c:pt>
                <c:pt idx="32">
                  <c:v>4.5</c:v>
                </c:pt>
                <c:pt idx="33">
                  <c:v>4.6500000000000004</c:v>
                </c:pt>
                <c:pt idx="34">
                  <c:v>4.8000000000000007</c:v>
                </c:pt>
                <c:pt idx="35">
                  <c:v>4.9500000000000011</c:v>
                </c:pt>
                <c:pt idx="36">
                  <c:v>5.1000000000000014</c:v>
                </c:pt>
                <c:pt idx="37">
                  <c:v>5.2500000000000018</c:v>
                </c:pt>
                <c:pt idx="38">
                  <c:v>5.4000000000000021</c:v>
                </c:pt>
                <c:pt idx="39">
                  <c:v>5.5500000000000025</c:v>
                </c:pt>
                <c:pt idx="40">
                  <c:v>5.7000000000000028</c:v>
                </c:pt>
                <c:pt idx="41">
                  <c:v>5.8500000000000032</c:v>
                </c:pt>
                <c:pt idx="42">
                  <c:v>6.0000000000000036</c:v>
                </c:pt>
              </c:numCache>
            </c:numRef>
          </c:xVal>
          <c:yVal>
            <c:numRef>
              <c:f>Q_p!$B$2:$B$44</c:f>
              <c:numCache>
                <c:formatCode>General</c:formatCode>
                <c:ptCount val="43"/>
                <c:pt idx="0">
                  <c:v>0</c:v>
                </c:pt>
                <c:pt idx="1">
                  <c:v>0.39000000000000007</c:v>
                </c:pt>
                <c:pt idx="2">
                  <c:v>0.76</c:v>
                </c:pt>
                <c:pt idx="3">
                  <c:v>1.1099999999999999</c:v>
                </c:pt>
                <c:pt idx="4">
                  <c:v>1.44</c:v>
                </c:pt>
                <c:pt idx="5">
                  <c:v>1.7500000000000002</c:v>
                </c:pt>
                <c:pt idx="6">
                  <c:v>2.04</c:v>
                </c:pt>
                <c:pt idx="7">
                  <c:v>2.3100000000000005</c:v>
                </c:pt>
                <c:pt idx="8">
                  <c:v>2.56</c:v>
                </c:pt>
                <c:pt idx="9">
                  <c:v>2.7900000000000005</c:v>
                </c:pt>
                <c:pt idx="10">
                  <c:v>3</c:v>
                </c:pt>
                <c:pt idx="11">
                  <c:v>3.1899999999999991</c:v>
                </c:pt>
                <c:pt idx="12">
                  <c:v>3.3599999999999994</c:v>
                </c:pt>
                <c:pt idx="13">
                  <c:v>3.5100000000000002</c:v>
                </c:pt>
                <c:pt idx="14">
                  <c:v>3.6399999999999997</c:v>
                </c:pt>
                <c:pt idx="15">
                  <c:v>3.7499999999999991</c:v>
                </c:pt>
                <c:pt idx="16">
                  <c:v>3.84</c:v>
                </c:pt>
                <c:pt idx="17">
                  <c:v>3.9099999999999997</c:v>
                </c:pt>
                <c:pt idx="18">
                  <c:v>3.96</c:v>
                </c:pt>
                <c:pt idx="19">
                  <c:v>3.9899999999999993</c:v>
                </c:pt>
                <c:pt idx="20">
                  <c:v>3.9999999999999991</c:v>
                </c:pt>
                <c:pt idx="21">
                  <c:v>3.9999999999999991</c:v>
                </c:pt>
                <c:pt idx="22">
                  <c:v>3.99</c:v>
                </c:pt>
                <c:pt idx="23">
                  <c:v>3.96</c:v>
                </c:pt>
                <c:pt idx="24">
                  <c:v>3.9099999999999997</c:v>
                </c:pt>
                <c:pt idx="25">
                  <c:v>3.8400000000000016</c:v>
                </c:pt>
                <c:pt idx="26">
                  <c:v>3.7500000000000013</c:v>
                </c:pt>
                <c:pt idx="27">
                  <c:v>3.640000000000001</c:v>
                </c:pt>
                <c:pt idx="28">
                  <c:v>3.5100000000000002</c:v>
                </c:pt>
                <c:pt idx="29">
                  <c:v>3.3600000000000008</c:v>
                </c:pt>
                <c:pt idx="30">
                  <c:v>3.1900000000000008</c:v>
                </c:pt>
                <c:pt idx="31">
                  <c:v>3</c:v>
                </c:pt>
                <c:pt idx="32">
                  <c:v>3</c:v>
                </c:pt>
                <c:pt idx="33">
                  <c:v>2.7899999999999996</c:v>
                </c:pt>
                <c:pt idx="34">
                  <c:v>2.5599999999999992</c:v>
                </c:pt>
                <c:pt idx="35">
                  <c:v>2.3099999999999974</c:v>
                </c:pt>
                <c:pt idx="36">
                  <c:v>2.0399999999999965</c:v>
                </c:pt>
                <c:pt idx="37">
                  <c:v>1.7499999999999967</c:v>
                </c:pt>
                <c:pt idx="38">
                  <c:v>1.4399999999999962</c:v>
                </c:pt>
                <c:pt idx="39">
                  <c:v>1.109999999999993</c:v>
                </c:pt>
                <c:pt idx="40">
                  <c:v>0.75999999999999401</c:v>
                </c:pt>
                <c:pt idx="41">
                  <c:v>0.38999999999999263</c:v>
                </c:pt>
                <c:pt idx="42">
                  <c:v>-9.473903143468002E-15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Q_p!$G$2:$G$44</c:f>
              <c:numCache>
                <c:formatCode>General</c:formatCode>
                <c:ptCount val="43"/>
                <c:pt idx="0">
                  <c:v>0</c:v>
                </c:pt>
                <c:pt idx="1">
                  <c:v>0.13595965648092678</c:v>
                </c:pt>
                <c:pt idx="2">
                  <c:v>0.27317554240631153</c:v>
                </c:pt>
                <c:pt idx="3">
                  <c:v>0.41183924692251966</c:v>
                </c:pt>
                <c:pt idx="4">
                  <c:v>0.55217507339204719</c:v>
                </c:pt>
                <c:pt idx="5">
                  <c:v>0.69444444444444442</c:v>
                </c:pt>
                <c:pt idx="6">
                  <c:v>0.83894945490584727</c:v>
                </c:pt>
                <c:pt idx="7">
                  <c:v>0.98603403625601216</c:v>
                </c:pt>
                <c:pt idx="8">
                  <c:v>1.1360799001248441</c:v>
                </c:pt>
                <c:pt idx="9">
                  <c:v>1.2894922425952047</c:v>
                </c:pt>
                <c:pt idx="10">
                  <c:v>1.4466666666666665</c:v>
                </c:pt>
                <c:pt idx="11">
                  <c:v>1.6079234972677594</c:v>
                </c:pt>
                <c:pt idx="12">
                  <c:v>1.7733887733887732</c:v>
                </c:pt>
                <c:pt idx="13">
                  <c:v>1.9427949326999205</c:v>
                </c:pt>
                <c:pt idx="14">
                  <c:v>2.1151761517615171</c:v>
                </c:pt>
                <c:pt idx="15">
                  <c:v>2.2884615384615379</c:v>
                </c:pt>
                <c:pt idx="16">
                  <c:v>2.4590542099192612</c:v>
                </c:pt>
                <c:pt idx="17">
                  <c:v>2.6216475095785432</c:v>
                </c:pt>
                <c:pt idx="18">
                  <c:v>2.7697095435684642</c:v>
                </c:pt>
                <c:pt idx="19">
                  <c:v>2.897016011644832</c:v>
                </c:pt>
                <c:pt idx="20">
                  <c:v>2.9999999999999996</c:v>
                </c:pt>
                <c:pt idx="21">
                  <c:v>2.9999999999999996</c:v>
                </c:pt>
                <c:pt idx="22">
                  <c:v>3.1150655021834051</c:v>
                </c:pt>
                <c:pt idx="23">
                  <c:v>3.2778699861687399</c:v>
                </c:pt>
                <c:pt idx="24">
                  <c:v>3.4806513409961668</c:v>
                </c:pt>
                <c:pt idx="25">
                  <c:v>3.7107266435986137</c:v>
                </c:pt>
                <c:pt idx="26">
                  <c:v>3.9551282051282031</c:v>
                </c:pt>
                <c:pt idx="27">
                  <c:v>4.2035230352303499</c:v>
                </c:pt>
                <c:pt idx="28">
                  <c:v>4.4490498812351529</c:v>
                </c:pt>
                <c:pt idx="29">
                  <c:v>4.6878724878724869</c:v>
                </c:pt>
                <c:pt idx="30">
                  <c:v>4.9183060109289611</c:v>
                </c:pt>
                <c:pt idx="31">
                  <c:v>5.14</c:v>
                </c:pt>
                <c:pt idx="32">
                  <c:v>4.1444444444444448</c:v>
                </c:pt>
                <c:pt idx="33">
                  <c:v>4.3328083372512154</c:v>
                </c:pt>
                <c:pt idx="34">
                  <c:v>4.5203495630461932</c:v>
                </c:pt>
                <c:pt idx="35">
                  <c:v>4.7063201381181416</c:v>
                </c:pt>
                <c:pt idx="36">
                  <c:v>4.8903314612928108</c:v>
                </c:pt>
                <c:pt idx="37">
                  <c:v>5.0722222222222246</c:v>
                </c:pt>
                <c:pt idx="38">
                  <c:v>5.2519704652611008</c:v>
                </c:pt>
                <c:pt idx="39">
                  <c:v>5.4296363343792775</c:v>
                </c:pt>
                <c:pt idx="40">
                  <c:v>5.6053254437869855</c:v>
                </c:pt>
                <c:pt idx="41">
                  <c:v>5.7791658344983725</c:v>
                </c:pt>
                <c:pt idx="42">
                  <c:v>5.951293759512942</c:v>
                </c:pt>
              </c:numCache>
            </c:numRef>
          </c:xVal>
          <c:yVal>
            <c:numRef>
              <c:f>Q_p!$H$2:$H$44</c:f>
              <c:numCache>
                <c:formatCode>General</c:formatCode>
                <c:ptCount val="43"/>
                <c:pt idx="0">
                  <c:v>0</c:v>
                </c:pt>
                <c:pt idx="1">
                  <c:v>0.39554224086279216</c:v>
                </c:pt>
                <c:pt idx="2">
                  <c:v>0.77117685733070351</c:v>
                </c:pt>
                <c:pt idx="3">
                  <c:v>1.1268356263577117</c:v>
                </c:pt>
                <c:pt idx="4">
                  <c:v>1.4624179343474779</c:v>
                </c:pt>
                <c:pt idx="5">
                  <c:v>1.7777777777777781</c:v>
                </c:pt>
                <c:pt idx="6">
                  <c:v>2.0727056491575819</c:v>
                </c:pt>
                <c:pt idx="7">
                  <c:v>2.3469034406215323</c:v>
                </c:pt>
                <c:pt idx="8">
                  <c:v>2.5999500624219727</c:v>
                </c:pt>
                <c:pt idx="9">
                  <c:v>2.8312552891396336</c:v>
                </c:pt>
                <c:pt idx="10">
                  <c:v>3.04</c:v>
                </c:pt>
                <c:pt idx="11">
                  <c:v>3.2250637522768661</c:v>
                </c:pt>
                <c:pt idx="12">
                  <c:v>3.3849480249480242</c:v>
                </c:pt>
                <c:pt idx="13">
                  <c:v>3.5177197149643709</c:v>
                </c:pt>
                <c:pt idx="14">
                  <c:v>3.6210298102981029</c:v>
                </c:pt>
                <c:pt idx="15">
                  <c:v>3.6923076923076916</c:v>
                </c:pt>
                <c:pt idx="16">
                  <c:v>3.7292733564013845</c:v>
                </c:pt>
                <c:pt idx="17">
                  <c:v>3.7308812260536399</c:v>
                </c:pt>
                <c:pt idx="18">
                  <c:v>3.6985892116182577</c:v>
                </c:pt>
                <c:pt idx="19">
                  <c:v>3.6373799126637554</c:v>
                </c:pt>
                <c:pt idx="20">
                  <c:v>3.5555555555555549</c:v>
                </c:pt>
                <c:pt idx="21">
                  <c:v>3.5555555555555536</c:v>
                </c:pt>
                <c:pt idx="22">
                  <c:v>3.727991266375545</c:v>
                </c:pt>
                <c:pt idx="23">
                  <c:v>3.877012448132779</c:v>
                </c:pt>
                <c:pt idx="24">
                  <c:v>3.98662835249042</c:v>
                </c:pt>
                <c:pt idx="25">
                  <c:v>4.0476124567474052</c:v>
                </c:pt>
                <c:pt idx="26">
                  <c:v>4.0576923076923084</c:v>
                </c:pt>
                <c:pt idx="27">
                  <c:v>4.0194037940379408</c:v>
                </c:pt>
                <c:pt idx="28">
                  <c:v>3.9375534441805229</c:v>
                </c:pt>
                <c:pt idx="29">
                  <c:v>3.8173804573804579</c:v>
                </c:pt>
                <c:pt idx="30">
                  <c:v>3.6635883424408027</c:v>
                </c:pt>
                <c:pt idx="31">
                  <c:v>3.48</c:v>
                </c:pt>
                <c:pt idx="32">
                  <c:v>2.7333333333333334</c:v>
                </c:pt>
                <c:pt idx="33">
                  <c:v>2.5737329572167367</c:v>
                </c:pt>
                <c:pt idx="34">
                  <c:v>2.3852184769038693</c:v>
                </c:pt>
                <c:pt idx="35">
                  <c:v>2.1694154642989245</c:v>
                </c:pt>
                <c:pt idx="36">
                  <c:v>1.9276775685497158</c:v>
                </c:pt>
                <c:pt idx="37">
                  <c:v>1.6611111111111079</c:v>
                </c:pt>
                <c:pt idx="38">
                  <c:v>1.370611155591136</c:v>
                </c:pt>
                <c:pt idx="39">
                  <c:v>1.056898382814379</c:v>
                </c:pt>
                <c:pt idx="40">
                  <c:v>0.72055226824457019</c:v>
                </c:pt>
                <c:pt idx="41">
                  <c:v>0.36203914519671743</c:v>
                </c:pt>
                <c:pt idx="42">
                  <c:v>-1.8264840182657689E-2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10720"/>
        <c:axId val="92912256"/>
      </c:scatterChart>
      <c:valAx>
        <c:axId val="92910720"/>
        <c:scaling>
          <c:orientation val="minMax"/>
          <c:max val="6.6000000000000005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912256"/>
        <c:crosses val="autoZero"/>
        <c:crossBetween val="midCat"/>
        <c:majorUnit val="1"/>
      </c:valAx>
      <c:valAx>
        <c:axId val="92912256"/>
        <c:scaling>
          <c:orientation val="minMax"/>
          <c:max val="4.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2910720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60129659643439E-2"/>
          <c:y val="5.6201656752772139E-2"/>
          <c:w val="0.91410048622366291"/>
          <c:h val="0.889536567224910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N_p!$A$2:$A$44</c:f>
              <c:numCache>
                <c:formatCode>General</c:formatCode>
                <c:ptCount val="43"/>
                <c:pt idx="0">
                  <c:v>0</c:v>
                </c:pt>
                <c:pt idx="1">
                  <c:v>0.15000000000000002</c:v>
                </c:pt>
                <c:pt idx="2">
                  <c:v>0.30000000000000004</c:v>
                </c:pt>
                <c:pt idx="3">
                  <c:v>0.45000000000000007</c:v>
                </c:pt>
                <c:pt idx="4">
                  <c:v>0.60000000000000009</c:v>
                </c:pt>
                <c:pt idx="5">
                  <c:v>0.75000000000000011</c:v>
                </c:pt>
                <c:pt idx="6">
                  <c:v>0.90000000000000013</c:v>
                </c:pt>
                <c:pt idx="7">
                  <c:v>1.0500000000000003</c:v>
                </c:pt>
                <c:pt idx="8">
                  <c:v>1.2000000000000002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1.7999999999999998</c:v>
                </c:pt>
                <c:pt idx="13">
                  <c:v>1.9499999999999997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2.9999999999999991</c:v>
                </c:pt>
                <c:pt idx="22">
                  <c:v>3.149999999999999</c:v>
                </c:pt>
                <c:pt idx="23">
                  <c:v>3.2999999999999989</c:v>
                </c:pt>
                <c:pt idx="24">
                  <c:v>3.4499999999999988</c:v>
                </c:pt>
                <c:pt idx="25">
                  <c:v>3.5999999999999988</c:v>
                </c:pt>
                <c:pt idx="26">
                  <c:v>3.7499999999999987</c:v>
                </c:pt>
                <c:pt idx="27">
                  <c:v>3.8999999999999986</c:v>
                </c:pt>
                <c:pt idx="28">
                  <c:v>4.0499999999999989</c:v>
                </c:pt>
                <c:pt idx="29">
                  <c:v>4.1999999999999993</c:v>
                </c:pt>
                <c:pt idx="30">
                  <c:v>4.3499999999999996</c:v>
                </c:pt>
                <c:pt idx="31">
                  <c:v>4.5</c:v>
                </c:pt>
                <c:pt idx="32">
                  <c:v>4.5</c:v>
                </c:pt>
                <c:pt idx="33">
                  <c:v>4.6500000000000004</c:v>
                </c:pt>
                <c:pt idx="34">
                  <c:v>4.8000000000000007</c:v>
                </c:pt>
                <c:pt idx="35">
                  <c:v>4.9500000000000011</c:v>
                </c:pt>
                <c:pt idx="36">
                  <c:v>5.1000000000000014</c:v>
                </c:pt>
                <c:pt idx="37">
                  <c:v>5.2500000000000018</c:v>
                </c:pt>
                <c:pt idx="38">
                  <c:v>5.4000000000000021</c:v>
                </c:pt>
                <c:pt idx="39">
                  <c:v>5.5500000000000025</c:v>
                </c:pt>
                <c:pt idx="40">
                  <c:v>5.7000000000000028</c:v>
                </c:pt>
                <c:pt idx="41">
                  <c:v>5.8500000000000032</c:v>
                </c:pt>
                <c:pt idx="42">
                  <c:v>6.0000000000000036</c:v>
                </c:pt>
              </c:numCache>
            </c:numRef>
          </c:xVal>
          <c:yVal>
            <c:numRef>
              <c:f>N_p!$B$2:$B$44</c:f>
              <c:numCache>
                <c:formatCode>General</c:formatCode>
                <c:ptCount val="43"/>
                <c:pt idx="0">
                  <c:v>0</c:v>
                </c:pt>
                <c:pt idx="1">
                  <c:v>0.39000000000000007</c:v>
                </c:pt>
                <c:pt idx="2">
                  <c:v>0.76</c:v>
                </c:pt>
                <c:pt idx="3">
                  <c:v>1.1099999999999999</c:v>
                </c:pt>
                <c:pt idx="4">
                  <c:v>1.44</c:v>
                </c:pt>
                <c:pt idx="5">
                  <c:v>1.7500000000000002</c:v>
                </c:pt>
                <c:pt idx="6">
                  <c:v>2.04</c:v>
                </c:pt>
                <c:pt idx="7">
                  <c:v>2.3100000000000005</c:v>
                </c:pt>
                <c:pt idx="8">
                  <c:v>2.56</c:v>
                </c:pt>
                <c:pt idx="9">
                  <c:v>2.7900000000000005</c:v>
                </c:pt>
                <c:pt idx="10">
                  <c:v>3</c:v>
                </c:pt>
                <c:pt idx="11">
                  <c:v>3.1899999999999991</c:v>
                </c:pt>
                <c:pt idx="12">
                  <c:v>3.3599999999999994</c:v>
                </c:pt>
                <c:pt idx="13">
                  <c:v>3.5100000000000002</c:v>
                </c:pt>
                <c:pt idx="14">
                  <c:v>3.6399999999999997</c:v>
                </c:pt>
                <c:pt idx="15">
                  <c:v>3.7499999999999991</c:v>
                </c:pt>
                <c:pt idx="16">
                  <c:v>3.84</c:v>
                </c:pt>
                <c:pt idx="17">
                  <c:v>3.9099999999999997</c:v>
                </c:pt>
                <c:pt idx="18">
                  <c:v>3.96</c:v>
                </c:pt>
                <c:pt idx="19">
                  <c:v>3.9899999999999993</c:v>
                </c:pt>
                <c:pt idx="20">
                  <c:v>3.9999999999999991</c:v>
                </c:pt>
                <c:pt idx="21">
                  <c:v>3.9999999999999991</c:v>
                </c:pt>
                <c:pt idx="22">
                  <c:v>3.99</c:v>
                </c:pt>
                <c:pt idx="23">
                  <c:v>3.96</c:v>
                </c:pt>
                <c:pt idx="24">
                  <c:v>3.9099999999999997</c:v>
                </c:pt>
                <c:pt idx="25">
                  <c:v>3.8400000000000016</c:v>
                </c:pt>
                <c:pt idx="26">
                  <c:v>3.7500000000000013</c:v>
                </c:pt>
                <c:pt idx="27">
                  <c:v>3.640000000000001</c:v>
                </c:pt>
                <c:pt idx="28">
                  <c:v>3.5100000000000002</c:v>
                </c:pt>
                <c:pt idx="29">
                  <c:v>3.3600000000000008</c:v>
                </c:pt>
                <c:pt idx="30">
                  <c:v>3.1900000000000008</c:v>
                </c:pt>
                <c:pt idx="31">
                  <c:v>3</c:v>
                </c:pt>
                <c:pt idx="32">
                  <c:v>3</c:v>
                </c:pt>
                <c:pt idx="33">
                  <c:v>2.7899999999999996</c:v>
                </c:pt>
                <c:pt idx="34">
                  <c:v>2.5599999999999992</c:v>
                </c:pt>
                <c:pt idx="35">
                  <c:v>2.3099999999999974</c:v>
                </c:pt>
                <c:pt idx="36">
                  <c:v>2.0399999999999965</c:v>
                </c:pt>
                <c:pt idx="37">
                  <c:v>1.7499999999999967</c:v>
                </c:pt>
                <c:pt idx="38">
                  <c:v>1.4399999999999962</c:v>
                </c:pt>
                <c:pt idx="39">
                  <c:v>1.109999999999993</c:v>
                </c:pt>
                <c:pt idx="40">
                  <c:v>0.75999999999999401</c:v>
                </c:pt>
                <c:pt idx="41">
                  <c:v>0.38999999999999263</c:v>
                </c:pt>
                <c:pt idx="42">
                  <c:v>-9.473903143468002E-15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N_p!$G$2:$G$44</c:f>
              <c:numCache>
                <c:formatCode>General</c:formatCode>
                <c:ptCount val="43"/>
                <c:pt idx="0">
                  <c:v>0.74906334205523584</c:v>
                </c:pt>
                <c:pt idx="1">
                  <c:v>0.86910361343347431</c:v>
                </c:pt>
                <c:pt idx="2">
                  <c:v>0.98771992990112634</c:v>
                </c:pt>
                <c:pt idx="3">
                  <c:v>1.1049266642846209</c:v>
                </c:pt>
                <c:pt idx="4">
                  <c:v>1.2207450132592887</c:v>
                </c:pt>
                <c:pt idx="5">
                  <c:v>1.3352057359806531</c:v>
                </c:pt>
                <c:pt idx="6">
                  <c:v>1.4483529702434881</c:v>
                </c:pt>
                <c:pt idx="7">
                  <c:v>1.560249519643583</c:v>
                </c:pt>
                <c:pt idx="8">
                  <c:v>1.6709840968697864</c:v>
                </c:pt>
                <c:pt idx="9">
                  <c:v>1.7806810471104149</c:v>
                </c:pt>
                <c:pt idx="10">
                  <c:v>1.8895129378687225</c:v>
                </c:pt>
                <c:pt idx="11">
                  <c:v>1.9977158173683862</c:v>
                </c:pt>
                <c:pt idx="12">
                  <c:v>2.1056053851245728</c:v>
                </c:pt>
                <c:pt idx="13">
                  <c:v>2.2135888958146088</c:v>
                </c:pt>
                <c:pt idx="14">
                  <c:v>2.322161225351016</c:v>
                </c:pt>
                <c:pt idx="15">
                  <c:v>2.4318639364124488</c:v>
                </c:pt>
                <c:pt idx="16">
                  <c:v>2.5431773668343638</c:v>
                </c:pt>
                <c:pt idx="17">
                  <c:v>2.6563217924736153</c:v>
                </c:pt>
                <c:pt idx="18">
                  <c:v>2.7709900694296326</c:v>
                </c:pt>
                <c:pt idx="19">
                  <c:v>2.8861324931972816</c:v>
                </c:pt>
                <c:pt idx="20">
                  <c:v>2.9999999999999991</c:v>
                </c:pt>
                <c:pt idx="21">
                  <c:v>2.9999999999999991</c:v>
                </c:pt>
                <c:pt idx="22">
                  <c:v>3.1115655272089553</c:v>
                </c:pt>
                <c:pt idx="23">
                  <c:v>3.2238504071354628</c:v>
                </c:pt>
                <c:pt idx="24">
                  <c:v>3.3402234757332834</c:v>
                </c:pt>
                <c:pt idx="25">
                  <c:v>3.4626285220452324</c:v>
                </c:pt>
                <c:pt idx="26">
                  <c:v>3.591544293026776</c:v>
                </c:pt>
                <c:pt idx="27">
                  <c:v>3.7264365426945174</c:v>
                </c:pt>
                <c:pt idx="28">
                  <c:v>3.8662926601729133</c:v>
                </c:pt>
                <c:pt idx="29">
                  <c:v>4.0100088820566757</c:v>
                </c:pt>
                <c:pt idx="30">
                  <c:v>4.1565943010267219</c:v>
                </c:pt>
                <c:pt idx="31">
                  <c:v>4.3052435310656385</c:v>
                </c:pt>
                <c:pt idx="32">
                  <c:v>4.2752809973834296</c:v>
                </c:pt>
                <c:pt idx="33">
                  <c:v>4.4146631037478086</c:v>
                </c:pt>
                <c:pt idx="34">
                  <c:v>4.555923180678632</c:v>
                </c:pt>
                <c:pt idx="35">
                  <c:v>4.698718762334968</c:v>
                </c:pt>
                <c:pt idx="36">
                  <c:v>4.8427646699483269</c:v>
                </c:pt>
                <c:pt idx="37">
                  <c:v>4.9878278302806693</c:v>
                </c:pt>
                <c:pt idx="38">
                  <c:v>5.1337196766432971</c:v>
                </c:pt>
                <c:pt idx="39">
                  <c:v>5.2802883802773621</c:v>
                </c:pt>
                <c:pt idx="40">
                  <c:v>5.4274118607313815</c:v>
                </c:pt>
                <c:pt idx="41">
                  <c:v>5.5749918736702577</c:v>
                </c:pt>
                <c:pt idx="42">
                  <c:v>5.7229491748562866</c:v>
                </c:pt>
              </c:numCache>
            </c:numRef>
          </c:xVal>
          <c:yVal>
            <c:numRef>
              <c:f>N_p!$H$2:$H$44</c:f>
              <c:numCache>
                <c:formatCode>General</c:formatCode>
                <c:ptCount val="43"/>
                <c:pt idx="0">
                  <c:v>-0.2808987532707134</c:v>
                </c:pt>
                <c:pt idx="1">
                  <c:v>0.10614331048678655</c:v>
                </c:pt>
                <c:pt idx="2">
                  <c:v>0.47345002920786405</c:v>
                </c:pt>
                <c:pt idx="3">
                  <c:v>0.82106176575678469</c:v>
                </c:pt>
                <c:pt idx="4">
                  <c:v>1.1490257750347084</c:v>
                </c:pt>
                <c:pt idx="5">
                  <c:v>1.4573971320096737</c:v>
                </c:pt>
                <c:pt idx="6">
                  <c:v>1.7462394802267029</c:v>
                </c:pt>
                <c:pt idx="7">
                  <c:v>2.0156252771287027</c:v>
                </c:pt>
                <c:pt idx="8">
                  <c:v>2.2656349394563837</c:v>
                </c:pt>
                <c:pt idx="9">
                  <c:v>2.4963538315156266</c:v>
                </c:pt>
                <c:pt idx="10">
                  <c:v>2.7078652965984582</c:v>
                </c:pt>
                <c:pt idx="11">
                  <c:v>2.900236818859677</c:v>
                </c:pt>
                <c:pt idx="12">
                  <c:v>3.0734949514457126</c:v>
                </c:pt>
                <c:pt idx="13">
                  <c:v>3.227583325912919</c:v>
                </c:pt>
                <c:pt idx="14">
                  <c:v>3.3622984683112294</c:v>
                </c:pt>
                <c:pt idx="15">
                  <c:v>3.4772040953813255</c:v>
                </c:pt>
                <c:pt idx="16">
                  <c:v>3.5715424371855673</c:v>
                </c:pt>
                <c:pt idx="17">
                  <c:v>3.6441955188159598</c:v>
                </c:pt>
                <c:pt idx="18">
                  <c:v>3.6937872396388758</c:v>
                </c:pt>
                <c:pt idx="19">
                  <c:v>3.7190063010203822</c:v>
                </c:pt>
                <c:pt idx="20">
                  <c:v>3.7191012467292857</c:v>
                </c:pt>
                <c:pt idx="21">
                  <c:v>3.7191012467292857</c:v>
                </c:pt>
                <c:pt idx="22">
                  <c:v>3.701741454067172</c:v>
                </c:pt>
                <c:pt idx="23">
                  <c:v>3.6744390267579883</c:v>
                </c:pt>
                <c:pt idx="24">
                  <c:v>3.6355586893332106</c:v>
                </c:pt>
                <c:pt idx="25">
                  <c:v>3.5824284788348146</c:v>
                </c:pt>
                <c:pt idx="26">
                  <c:v>3.5123164395401667</c:v>
                </c:pt>
                <c:pt idx="27">
                  <c:v>3.4230456783681489</c:v>
                </c:pt>
                <c:pt idx="28">
                  <c:v>3.3131707073281222</c:v>
                </c:pt>
                <c:pt idx="29">
                  <c:v>3.1818833269281348</c:v>
                </c:pt>
                <c:pt idx="30">
                  <c:v>3.0288285841889357</c:v>
                </c:pt>
                <c:pt idx="31">
                  <c:v>2.8539326482992289</c:v>
                </c:pt>
                <c:pt idx="32">
                  <c:v>2.8314607480375722</c:v>
                </c:pt>
                <c:pt idx="33">
                  <c:v>2.6295430252825964</c:v>
                </c:pt>
                <c:pt idx="34">
                  <c:v>2.4074519879241434</c:v>
                </c:pt>
                <c:pt idx="35">
                  <c:v>2.1650300551932475</c:v>
                </c:pt>
                <c:pt idx="36">
                  <c:v>1.9021953589008853</c:v>
                </c:pt>
                <c:pt idx="37">
                  <c:v>1.6189139151403305</c:v>
                </c:pt>
                <c:pt idx="38">
                  <c:v>1.3151810984265406</c:v>
                </c:pt>
                <c:pt idx="39">
                  <c:v>0.9910095795341225</c:v>
                </c:pt>
                <c:pt idx="40">
                  <c:v>0.64642160863806852</c:v>
                </c:pt>
                <c:pt idx="41">
                  <c:v>0.28144416065930361</c:v>
                </c:pt>
                <c:pt idx="42">
                  <c:v>-0.10389405942890335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89504"/>
        <c:axId val="95591040"/>
      </c:scatterChart>
      <c:valAx>
        <c:axId val="95589504"/>
        <c:scaling>
          <c:orientation val="minMax"/>
          <c:max val="6.6000000000000005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5591040"/>
        <c:crosses val="autoZero"/>
        <c:crossBetween val="midCat"/>
        <c:majorUnit val="1"/>
      </c:valAx>
      <c:valAx>
        <c:axId val="95591040"/>
        <c:scaling>
          <c:orientation val="minMax"/>
          <c:max val="4.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9558950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1</xdr:row>
          <xdr:rowOff>0</xdr:rowOff>
        </xdr:from>
        <xdr:to>
          <xdr:col>9</xdr:col>
          <xdr:colOff>47625</xdr:colOff>
          <xdr:row>8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76200</xdr:rowOff>
        </xdr:from>
        <xdr:to>
          <xdr:col>0</xdr:col>
          <xdr:colOff>0</xdr:colOff>
          <xdr:row>43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14</xdr:col>
      <xdr:colOff>66675</xdr:colOff>
      <xdr:row>30</xdr:row>
      <xdr:rowOff>152400</xdr:rowOff>
    </xdr:to>
    <xdr:graphicFrame macro="">
      <xdr:nvGraphicFramePr>
        <xdr:cNvPr id="512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11</xdr:col>
      <xdr:colOff>180975</xdr:colOff>
      <xdr:row>30</xdr:row>
      <xdr:rowOff>85725</xdr:rowOff>
    </xdr:to>
    <xdr:graphicFrame macro="">
      <xdr:nvGraphicFramePr>
        <xdr:cNvPr id="614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12</xdr:col>
      <xdr:colOff>390525</xdr:colOff>
      <xdr:row>30</xdr:row>
      <xdr:rowOff>19050</xdr:rowOff>
    </xdr:to>
    <xdr:graphicFrame macro="">
      <xdr:nvGraphicFramePr>
        <xdr:cNvPr id="716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371475</xdr:rowOff>
    </xdr:from>
    <xdr:to>
      <xdr:col>11</xdr:col>
      <xdr:colOff>76200</xdr:colOff>
      <xdr:row>11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71475"/>
          <a:ext cx="272415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12</xdr:col>
      <xdr:colOff>28575</xdr:colOff>
      <xdr:row>30</xdr:row>
      <xdr:rowOff>76200</xdr:rowOff>
    </xdr:to>
    <xdr:graphicFrame macro="">
      <xdr:nvGraphicFramePr>
        <xdr:cNvPr id="819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11</xdr:col>
      <xdr:colOff>0</xdr:colOff>
      <xdr:row>30</xdr:row>
      <xdr:rowOff>104775</xdr:rowOff>
    </xdr:to>
    <xdr:graphicFrame macro="">
      <xdr:nvGraphicFramePr>
        <xdr:cNvPr id="921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11</xdr:col>
      <xdr:colOff>47625</xdr:colOff>
      <xdr:row>30</xdr:row>
      <xdr:rowOff>85725</xdr:rowOff>
    </xdr:to>
    <xdr:graphicFrame macro="">
      <xdr:nvGraphicFramePr>
        <xdr:cNvPr id="1024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G27"/>
  <sheetViews>
    <sheetView workbookViewId="0">
      <selection activeCell="A5" sqref="A5"/>
    </sheetView>
  </sheetViews>
  <sheetFormatPr defaultRowHeight="12.75" x14ac:dyDescent="0.2"/>
  <cols>
    <col min="5" max="5" width="8.83203125" customWidth="1"/>
  </cols>
  <sheetData>
    <row r="1" spans="1:7" ht="30.75" x14ac:dyDescent="0.45">
      <c r="A1" s="8" t="s">
        <v>25</v>
      </c>
    </row>
    <row r="4" spans="1:7" x14ac:dyDescent="0.2">
      <c r="A4" t="s">
        <v>0</v>
      </c>
      <c r="B4" t="s">
        <v>1</v>
      </c>
      <c r="C4" t="s">
        <v>2</v>
      </c>
    </row>
    <row r="5" spans="1:7" x14ac:dyDescent="0.2">
      <c r="A5" s="1">
        <v>3</v>
      </c>
      <c r="B5" s="1">
        <v>30</v>
      </c>
      <c r="C5" s="1">
        <v>20</v>
      </c>
    </row>
    <row r="7" spans="1:7" x14ac:dyDescent="0.2">
      <c r="A7" t="s">
        <v>23</v>
      </c>
    </row>
    <row r="8" spans="1:7" x14ac:dyDescent="0.2">
      <c r="A8" s="2" t="s">
        <v>3</v>
      </c>
      <c r="B8" s="2" t="s">
        <v>4</v>
      </c>
      <c r="C8" s="2" t="s">
        <v>5</v>
      </c>
      <c r="D8" s="2"/>
      <c r="E8" s="2" t="s">
        <v>26</v>
      </c>
      <c r="F8" s="2"/>
      <c r="G8" s="2"/>
    </row>
    <row r="9" spans="1:7" x14ac:dyDescent="0.2">
      <c r="A9" s="2">
        <f>(P*COS(PI()/6)*_R+q*_R*_R/2)/(2*_R)</f>
        <v>27.99038105676658</v>
      </c>
      <c r="B9" s="2">
        <f>(P*COS(PI()/6)*_R+q*_R*1.5*_R)/(2*_R)</f>
        <v>57.99038105676658</v>
      </c>
      <c r="C9" s="2">
        <f>P*COS(PI()/3)</f>
        <v>15.000000000000004</v>
      </c>
      <c r="D9" s="2"/>
      <c r="E9" s="2">
        <f>Ra+Vb-q*_R-P*COS(PI()/6)</f>
        <v>0</v>
      </c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 t="s">
        <v>24</v>
      </c>
      <c r="B11" s="2"/>
      <c r="C11" s="2"/>
      <c r="D11" s="2"/>
      <c r="E11" s="2"/>
      <c r="F11" s="2"/>
      <c r="G11" s="2"/>
    </row>
    <row r="12" spans="1:7" x14ac:dyDescent="0.2">
      <c r="A12" s="2" t="s">
        <v>6</v>
      </c>
      <c r="B12" s="2" t="s">
        <v>10</v>
      </c>
      <c r="C12" s="2" t="s">
        <v>11</v>
      </c>
      <c r="D12" s="2" t="s">
        <v>12</v>
      </c>
      <c r="E12" s="2" t="s">
        <v>7</v>
      </c>
      <c r="F12" s="2" t="s">
        <v>8</v>
      </c>
      <c r="G12" s="2" t="s">
        <v>9</v>
      </c>
    </row>
    <row r="13" spans="1:7" x14ac:dyDescent="0.2">
      <c r="A13" s="2">
        <v>0</v>
      </c>
      <c r="B13" s="2">
        <f t="shared" ref="B13:B27" si="0">A13/180*PI()</f>
        <v>0</v>
      </c>
      <c r="C13" s="2">
        <f t="shared" ref="C13:C27" si="1">_R*(1-COS(B13))</f>
        <v>0</v>
      </c>
      <c r="D13" s="2">
        <f t="shared" ref="D13:D27" si="2">_R*SIN(B13)</f>
        <v>0</v>
      </c>
      <c r="E13" s="4">
        <f>Ra*C13</f>
        <v>0</v>
      </c>
      <c r="F13" s="13">
        <f>Ra*SIN(B13)</f>
        <v>0</v>
      </c>
      <c r="G13" s="6">
        <f>-Ra*COS(B13)</f>
        <v>-27.99038105676658</v>
      </c>
    </row>
    <row r="14" spans="1:7" x14ac:dyDescent="0.2">
      <c r="A14" s="2">
        <v>15</v>
      </c>
      <c r="B14" s="2">
        <f t="shared" si="0"/>
        <v>0.26179938779914941</v>
      </c>
      <c r="C14" s="2">
        <f t="shared" si="1"/>
        <v>0.10222252113279506</v>
      </c>
      <c r="D14" s="2">
        <f t="shared" si="2"/>
        <v>0.77645713530756222</v>
      </c>
      <c r="E14" s="5">
        <f>Ra*C14</f>
        <v>2.8612473190903085</v>
      </c>
      <c r="F14" s="10">
        <f>Ra*SIN(B14)</f>
        <v>7.2444436971680117</v>
      </c>
      <c r="G14" s="7">
        <f>-Ra*COS(B14)</f>
        <v>-27.036631950403144</v>
      </c>
    </row>
    <row r="15" spans="1:7" x14ac:dyDescent="0.2">
      <c r="A15" s="2">
        <v>30</v>
      </c>
      <c r="B15" s="2">
        <f t="shared" si="0"/>
        <v>0.52359877559829882</v>
      </c>
      <c r="C15" s="2">
        <f t="shared" si="1"/>
        <v>0.40192378864668388</v>
      </c>
      <c r="D15" s="2">
        <f t="shared" si="2"/>
        <v>1.4999999999999998</v>
      </c>
      <c r="E15" s="5">
        <f>Ra*C15</f>
        <v>11.249999999999995</v>
      </c>
      <c r="F15" s="10">
        <f>Ra*SIN(B15)</f>
        <v>13.995190528383288</v>
      </c>
      <c r="G15" s="7">
        <f>-Ra*COS(B15)</f>
        <v>-24.24038105676658</v>
      </c>
    </row>
    <row r="16" spans="1:7" x14ac:dyDescent="0.2">
      <c r="A16" s="2">
        <v>45</v>
      </c>
      <c r="B16" s="2">
        <f t="shared" si="0"/>
        <v>0.78539816339744828</v>
      </c>
      <c r="C16" s="2">
        <f t="shared" si="1"/>
        <v>0.87867965644035728</v>
      </c>
      <c r="D16" s="2">
        <f t="shared" si="2"/>
        <v>2.1213203435596424</v>
      </c>
      <c r="E16" s="5">
        <f>Ra*C16</f>
        <v>24.594578410594345</v>
      </c>
      <c r="F16" s="10">
        <f>Ra*SIN(B16)</f>
        <v>19.792188253235128</v>
      </c>
      <c r="G16" s="7">
        <f>-Ra*COS(B16)</f>
        <v>-19.792188253235132</v>
      </c>
    </row>
    <row r="17" spans="1:7" x14ac:dyDescent="0.2">
      <c r="A17" s="2">
        <v>60</v>
      </c>
      <c r="B17" s="2">
        <f t="shared" si="0"/>
        <v>1.0471975511965976</v>
      </c>
      <c r="C17" s="2">
        <f t="shared" si="1"/>
        <v>1.4999999999999996</v>
      </c>
      <c r="D17" s="2">
        <f t="shared" si="2"/>
        <v>2.598076211353316</v>
      </c>
      <c r="E17" s="11">
        <f>Ra*C17</f>
        <v>41.985571585149856</v>
      </c>
      <c r="F17" s="14">
        <f>Ra*SIN(B17)</f>
        <v>24.24038105676658</v>
      </c>
      <c r="G17" s="12">
        <f>-Ra*COS(B17)</f>
        <v>-13.995190528383294</v>
      </c>
    </row>
    <row r="18" spans="1:7" x14ac:dyDescent="0.2">
      <c r="A18" s="2">
        <v>60</v>
      </c>
      <c r="B18" s="2">
        <f t="shared" si="0"/>
        <v>1.0471975511965976</v>
      </c>
      <c r="C18" s="2">
        <f t="shared" si="1"/>
        <v>1.4999999999999996</v>
      </c>
      <c r="D18" s="2">
        <f t="shared" si="2"/>
        <v>2.598076211353316</v>
      </c>
      <c r="E18" s="4">
        <f>Ra*C18-P*SIN(B18)*(C18-_R/2)-P*COS(B18)*(D18-_R*SQRT(3)/2)</f>
        <v>41.98557158514987</v>
      </c>
      <c r="F18" s="13">
        <f>(Ra-P*COS(PI()/6))*SIN(B18)-P*COS(PI()/3)*COS(B18)</f>
        <v>-5.7596189432334244</v>
      </c>
      <c r="G18" s="6">
        <f>-(Ra-P*COS(PI()/6))*COS(B18)-P*COS(PI()/3)*SIN(B18)</f>
        <v>-13.995190528383292</v>
      </c>
    </row>
    <row r="19" spans="1:7" x14ac:dyDescent="0.2">
      <c r="A19" s="2">
        <v>75</v>
      </c>
      <c r="B19" s="2">
        <f t="shared" si="0"/>
        <v>1.3089969389957472</v>
      </c>
      <c r="C19" s="2">
        <f t="shared" si="1"/>
        <v>2.2235428646924378</v>
      </c>
      <c r="D19" s="2">
        <f t="shared" si="2"/>
        <v>2.897777478867205</v>
      </c>
      <c r="E19" s="5">
        <f>Ra*C19-P*SIN(B19)*(C19-_R/2)-P*COS(B19)*(D19-_R*SQRT(3)/2)</f>
        <v>38.944098019568834</v>
      </c>
      <c r="F19" s="10">
        <f>(Ra-P*COS(PI()/6))*SIN(B19)-P*COS(PI()/3)*COS(B19)</f>
        <v>-1.9411428382689067</v>
      </c>
      <c r="G19" s="7">
        <f>-(Ra-P*COS(PI()/6))*COS(B19)-P*COS(PI()/3)*SIN(B19)</f>
        <v>-15.00901505024364</v>
      </c>
    </row>
    <row r="20" spans="1:7" x14ac:dyDescent="0.2">
      <c r="A20" s="2">
        <v>90</v>
      </c>
      <c r="B20" s="2">
        <f t="shared" si="0"/>
        <v>1.5707963267948966</v>
      </c>
      <c r="C20" s="2">
        <f t="shared" si="1"/>
        <v>2.9999999999999996</v>
      </c>
      <c r="D20" s="2">
        <f t="shared" si="2"/>
        <v>3</v>
      </c>
      <c r="E20" s="11">
        <f>Ra*C20-P*SIN(B20)*(C20-_R/2)-P*COS(B20)*(D20-_R*SQRT(3)/2)</f>
        <v>38.97114317029974</v>
      </c>
      <c r="F20" s="14">
        <f>(Ra-P*COS(PI()/6))*SIN(B20)-P*COS(PI()/3)*COS(B20)</f>
        <v>2.0096189432334191</v>
      </c>
      <c r="G20" s="12">
        <f>-(Ra-P*COS(PI()/6))*COS(B20)-P*COS(PI()/3)*SIN(B20)</f>
        <v>-15.000000000000004</v>
      </c>
    </row>
    <row r="21" spans="1:7" x14ac:dyDescent="0.2">
      <c r="A21" s="2">
        <v>90</v>
      </c>
      <c r="B21" s="2">
        <f t="shared" si="0"/>
        <v>1.5707963267948966</v>
      </c>
      <c r="C21" s="2">
        <f t="shared" si="1"/>
        <v>2.9999999999999996</v>
      </c>
      <c r="D21" s="2">
        <f t="shared" si="2"/>
        <v>3</v>
      </c>
      <c r="E21" s="4">
        <f t="shared" ref="E21:E27" si="3">Vb*C21-Hb*D21-q*C21^2/2</f>
        <v>38.971143170299712</v>
      </c>
      <c r="F21" s="13">
        <f t="shared" ref="F21:F27" si="4">-(Vb-q*C21)*SIN(B21)+Hb*COS(B21)</f>
        <v>2.0096189432334137</v>
      </c>
      <c r="G21" s="6">
        <f t="shared" ref="G21:G27" si="5">-(Vb-q*C21)*COS(B21)-Hb*SIN(B21)</f>
        <v>-15.000000000000004</v>
      </c>
    </row>
    <row r="22" spans="1:7" x14ac:dyDescent="0.2">
      <c r="A22" s="2">
        <v>75</v>
      </c>
      <c r="B22" s="2">
        <f t="shared" si="0"/>
        <v>1.3089969389957472</v>
      </c>
      <c r="C22" s="2">
        <f t="shared" si="1"/>
        <v>2.2235428646924378</v>
      </c>
      <c r="D22" s="2">
        <f t="shared" si="2"/>
        <v>2.897777478867205</v>
      </c>
      <c r="E22" s="5">
        <f t="shared" si="3"/>
        <v>36.036007125314214</v>
      </c>
      <c r="F22" s="10">
        <f t="shared" si="4"/>
        <v>-9.1765714851932856</v>
      </c>
      <c r="G22" s="7">
        <f t="shared" si="5"/>
        <v>-17.987997624895257</v>
      </c>
    </row>
    <row r="23" spans="1:7" x14ac:dyDescent="0.2">
      <c r="A23" s="2">
        <v>60</v>
      </c>
      <c r="B23" s="2">
        <f t="shared" si="0"/>
        <v>1.0471975511965976</v>
      </c>
      <c r="C23" s="2">
        <f t="shared" si="1"/>
        <v>1.4999999999999996</v>
      </c>
      <c r="D23" s="2">
        <f t="shared" si="2"/>
        <v>2.598076211353316</v>
      </c>
      <c r="E23" s="5">
        <f t="shared" si="3"/>
        <v>25.514428414850109</v>
      </c>
      <c r="F23" s="10">
        <f t="shared" si="4"/>
        <v>-16.74038105676658</v>
      </c>
      <c r="G23" s="7">
        <f t="shared" si="5"/>
        <v>-26.985571585149877</v>
      </c>
    </row>
    <row r="24" spans="1:7" x14ac:dyDescent="0.2">
      <c r="A24" s="2">
        <v>45</v>
      </c>
      <c r="B24" s="2">
        <f t="shared" si="0"/>
        <v>0.78539816339744828</v>
      </c>
      <c r="C24" s="2">
        <f t="shared" si="1"/>
        <v>0.87867965644035728</v>
      </c>
      <c r="D24" s="2">
        <f t="shared" si="2"/>
        <v>2.1213203435596424</v>
      </c>
      <c r="E24" s="5">
        <f t="shared" si="3"/>
        <v>11.414383563988977</v>
      </c>
      <c r="F24" s="10">
        <f t="shared" si="4"/>
        <v>-17.972383099840489</v>
      </c>
      <c r="G24" s="7">
        <f t="shared" si="5"/>
        <v>-39.185586535436926</v>
      </c>
    </row>
    <row r="25" spans="1:7" x14ac:dyDescent="0.2">
      <c r="A25" s="2">
        <v>30</v>
      </c>
      <c r="B25" s="2">
        <f t="shared" si="0"/>
        <v>0.52359877559829882</v>
      </c>
      <c r="C25" s="2">
        <f t="shared" si="1"/>
        <v>0.40192378864668388</v>
      </c>
      <c r="D25" s="2">
        <f t="shared" si="2"/>
        <v>1.4999999999999998</v>
      </c>
      <c r="E25" s="5">
        <f t="shared" si="3"/>
        <v>-0.80771365940053297</v>
      </c>
      <c r="F25" s="10">
        <f t="shared" si="4"/>
        <v>-11.985571585149863</v>
      </c>
      <c r="G25" s="7">
        <f t="shared" si="5"/>
        <v>-50.759618943233427</v>
      </c>
    </row>
    <row r="26" spans="1:7" x14ac:dyDescent="0.2">
      <c r="A26" s="2">
        <v>15</v>
      </c>
      <c r="B26" s="2">
        <f t="shared" si="0"/>
        <v>0.26179938779914941</v>
      </c>
      <c r="C26" s="2">
        <f t="shared" si="1"/>
        <v>0.10222252113279506</v>
      </c>
      <c r="D26" s="2">
        <f t="shared" si="2"/>
        <v>0.77645713530756222</v>
      </c>
      <c r="E26" s="5">
        <f t="shared" si="3"/>
        <v>-5.8234285148067224</v>
      </c>
      <c r="F26" s="10">
        <f t="shared" si="4"/>
        <v>9.0150502436401325E-3</v>
      </c>
      <c r="G26" s="7">
        <f t="shared" si="5"/>
        <v>-57.92190495180207</v>
      </c>
    </row>
    <row r="27" spans="1:7" x14ac:dyDescent="0.2">
      <c r="A27" s="2">
        <v>0</v>
      </c>
      <c r="B27" s="2">
        <f t="shared" si="0"/>
        <v>0</v>
      </c>
      <c r="C27" s="2">
        <f t="shared" si="1"/>
        <v>0</v>
      </c>
      <c r="D27" s="2">
        <f t="shared" si="2"/>
        <v>0</v>
      </c>
      <c r="E27" s="11">
        <f t="shared" si="3"/>
        <v>0</v>
      </c>
      <c r="F27" s="14">
        <f t="shared" si="4"/>
        <v>15.000000000000004</v>
      </c>
      <c r="G27" s="12">
        <f t="shared" si="5"/>
        <v>-57.99038105676658</v>
      </c>
    </row>
  </sheetData>
  <sheetProtection password="8D88" sheet="1" objects="1" scenarios="1"/>
  <customSheetViews>
    <customSheetView guid="{484FCF24-996E-4569-BED5-50606160D3A0}" showRuler="0" topLeftCell="A4">
      <selection activeCell="C16" sqref="C16"/>
    </customSheetView>
    <customSheetView guid="{2DC63A75-8E99-4D2A-91A2-FF74286B6910}" topLeftCell="A4">
      <selection activeCell="O18" sqref="O18"/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1" type="noConversion"/>
  <pageMargins left="0.75" right="0.75" top="1" bottom="1" header="0.5" footer="0.5"/>
  <pageSetup paperSize="9" orientation="portrait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 moveWithCells="1" sizeWithCells="1">
              <from>
                <xdr:col>5</xdr:col>
                <xdr:colOff>219075</xdr:colOff>
                <xdr:row>1</xdr:row>
                <xdr:rowOff>0</xdr:rowOff>
              </from>
              <to>
                <xdr:col>9</xdr:col>
                <xdr:colOff>47625</xdr:colOff>
                <xdr:row>8</xdr:row>
                <xdr:rowOff>142875</xdr:rowOff>
              </to>
            </anchor>
          </objectPr>
        </oleObject>
      </mc:Choice>
      <mc:Fallback>
        <oleObject progId="Word.Picture.8" shapeId="1025" r:id="rId5"/>
      </mc:Fallback>
    </mc:AlternateContent>
    <mc:AlternateContent xmlns:mc="http://schemas.openxmlformats.org/markup-compatibility/2006">
      <mc:Choice Requires="x14">
        <oleObject progId="Word.Picture.8" shapeId="1026" r:id="rId7">
          <objectPr defaultSize="0" autoPict="0" r:id="rId8">
            <anchor moveWithCells="1" sizeWithCells="1">
              <from>
                <xdr:col>0</xdr:col>
                <xdr:colOff>0</xdr:colOff>
                <xdr:row>36</xdr:row>
                <xdr:rowOff>76200</xdr:rowOff>
              </from>
              <to>
                <xdr:col>0</xdr:col>
                <xdr:colOff>0</xdr:colOff>
                <xdr:row>43</xdr:row>
                <xdr:rowOff>152400</xdr:rowOff>
              </to>
            </anchor>
          </objectPr>
        </oleObject>
      </mc:Choice>
      <mc:Fallback>
        <oleObject progId="Word.Picture.8" shapeId="102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workbookViewId="0">
      <selection activeCell="K5" sqref="K5"/>
    </sheetView>
  </sheetViews>
  <sheetFormatPr defaultRowHeight="12.75" x14ac:dyDescent="0.2"/>
  <sheetData>
    <row r="1" spans="1:10" x14ac:dyDescent="0.2">
      <c r="A1" t="s">
        <v>6</v>
      </c>
      <c r="B1" t="s">
        <v>11</v>
      </c>
      <c r="C1" t="s">
        <v>12</v>
      </c>
      <c r="D1" t="s">
        <v>7</v>
      </c>
      <c r="E1" t="s">
        <v>27</v>
      </c>
      <c r="F1" t="s">
        <v>28</v>
      </c>
      <c r="I1" t="s">
        <v>33</v>
      </c>
    </row>
    <row r="2" spans="1:10" x14ac:dyDescent="0.2">
      <c r="A2">
        <v>0</v>
      </c>
      <c r="B2">
        <f t="shared" ref="B2:B40" si="0">_R*(1-COS(A2))</f>
        <v>0</v>
      </c>
      <c r="C2">
        <f t="shared" ref="C2:C40" si="1">_R*SIN(A2)</f>
        <v>0</v>
      </c>
      <c r="D2">
        <f t="shared" ref="D2:D14" si="2">Ra*B2</f>
        <v>0</v>
      </c>
      <c r="E2">
        <f>B2+$D$43*D2*COS(A2)</f>
        <v>0</v>
      </c>
      <c r="F2">
        <f>C2-$D$43*D2*SIN(A2)</f>
        <v>0</v>
      </c>
      <c r="I2">
        <f>CEILING(E42+0.1*(E42-E43),0.1)</f>
        <v>6.7</v>
      </c>
      <c r="J2">
        <f>CEILING(F42+0.1*(F42-F43),0.1)</f>
        <v>3.3000000000000003</v>
      </c>
    </row>
    <row r="3" spans="1:10" x14ac:dyDescent="0.2">
      <c r="A3">
        <f t="shared" ref="A3:A14" si="3">A2+PI()/36</f>
        <v>8.7266462599716474E-2</v>
      </c>
      <c r="B3">
        <f t="shared" si="0"/>
        <v>1.1415905724763364E-2</v>
      </c>
      <c r="C3">
        <f t="shared" si="1"/>
        <v>0.26146722824297453</v>
      </c>
      <c r="D3">
        <f t="shared" si="2"/>
        <v>0.31953555134424966</v>
      </c>
      <c r="E3">
        <f t="shared" ref="E3:E40" si="4">B3+$D$43*D3*COS(A3)</f>
        <v>1.5964891627533152E-2</v>
      </c>
      <c r="F3">
        <f t="shared" ref="F3:F40" si="5">C3-$D$43*D3*SIN(A3)</f>
        <v>0.26106924354594291</v>
      </c>
      <c r="I3">
        <f>CEILING(E43-0.1*(E42-E43),-1)</f>
        <v>-1</v>
      </c>
      <c r="J3">
        <f>CEILING(F43-0.1*(F42-F43),-1)</f>
        <v>-1</v>
      </c>
    </row>
    <row r="4" spans="1:10" x14ac:dyDescent="0.2">
      <c r="A4">
        <f t="shared" si="3"/>
        <v>0.17453292519943295</v>
      </c>
      <c r="B4">
        <f t="shared" si="0"/>
        <v>4.5576740963375939E-2</v>
      </c>
      <c r="C4">
        <f t="shared" si="1"/>
        <v>0.52094453300079102</v>
      </c>
      <c r="D4">
        <f t="shared" si="2"/>
        <v>1.2757103468904354</v>
      </c>
      <c r="E4">
        <f t="shared" si="4"/>
        <v>6.3530472106480634E-2</v>
      </c>
      <c r="F4">
        <f t="shared" si="5"/>
        <v>0.51777880579587587</v>
      </c>
      <c r="I4">
        <v>1</v>
      </c>
      <c r="J4">
        <v>1</v>
      </c>
    </row>
    <row r="5" spans="1:10" x14ac:dyDescent="0.2">
      <c r="A5">
        <f t="shared" si="3"/>
        <v>0.26179938779914941</v>
      </c>
      <c r="B5">
        <f t="shared" si="0"/>
        <v>0.10222252113279506</v>
      </c>
      <c r="C5">
        <f t="shared" si="1"/>
        <v>0.77645713530756222</v>
      </c>
      <c r="D5">
        <f t="shared" si="2"/>
        <v>2.8612473190903085</v>
      </c>
      <c r="E5">
        <f t="shared" si="4"/>
        <v>0.1417182704090138</v>
      </c>
      <c r="F5">
        <f t="shared" si="5"/>
        <v>0.76587428118453726</v>
      </c>
    </row>
    <row r="6" spans="1:10" x14ac:dyDescent="0.2">
      <c r="A6">
        <f t="shared" si="3"/>
        <v>0.3490658503988659</v>
      </c>
      <c r="B6">
        <f t="shared" si="0"/>
        <v>0.18092213764227472</v>
      </c>
      <c r="C6">
        <f t="shared" si="1"/>
        <v>1.0260604299770062</v>
      </c>
      <c r="D6">
        <f t="shared" si="2"/>
        <v>5.0640795742120419</v>
      </c>
      <c r="E6">
        <f t="shared" si="4"/>
        <v>0.24892661671397792</v>
      </c>
      <c r="F6">
        <f t="shared" si="5"/>
        <v>1.0013088237981274</v>
      </c>
    </row>
    <row r="7" spans="1:10" x14ac:dyDescent="0.2">
      <c r="A7">
        <f t="shared" si="3"/>
        <v>0.43633231299858238</v>
      </c>
      <c r="B7">
        <f t="shared" si="0"/>
        <v>0.28107663889005019</v>
      </c>
      <c r="C7">
        <f t="shared" si="1"/>
        <v>1.2678547852220983</v>
      </c>
      <c r="D7">
        <f t="shared" si="2"/>
        <v>7.8674422286876817</v>
      </c>
      <c r="E7">
        <f t="shared" si="4"/>
        <v>0.38297341752210662</v>
      </c>
      <c r="F7">
        <f t="shared" si="5"/>
        <v>1.2203395370046457</v>
      </c>
    </row>
    <row r="8" spans="1:10" x14ac:dyDescent="0.2">
      <c r="A8">
        <f t="shared" si="3"/>
        <v>0.52359877559829882</v>
      </c>
      <c r="B8">
        <f t="shared" si="0"/>
        <v>0.40192378864668388</v>
      </c>
      <c r="C8">
        <f t="shared" si="1"/>
        <v>1.4999999999999998</v>
      </c>
      <c r="D8">
        <f t="shared" si="2"/>
        <v>11.249999999999995</v>
      </c>
      <c r="E8">
        <f t="shared" si="4"/>
        <v>0.54115427318801024</v>
      </c>
      <c r="F8">
        <f t="shared" si="5"/>
        <v>1.4196152422706629</v>
      </c>
    </row>
    <row r="9" spans="1:10" x14ac:dyDescent="0.2">
      <c r="A9">
        <f t="shared" si="3"/>
        <v>0.6108652381980153</v>
      </c>
      <c r="B9">
        <f t="shared" si="0"/>
        <v>0.5425438671330246</v>
      </c>
      <c r="C9">
        <f t="shared" si="1"/>
        <v>1.7207293090531381</v>
      </c>
      <c r="D9">
        <f t="shared" si="2"/>
        <v>15.186009581065097</v>
      </c>
      <c r="E9">
        <f t="shared" si="4"/>
        <v>0.72031423428441355</v>
      </c>
      <c r="F9">
        <f t="shared" si="5"/>
        <v>1.5962531579034278</v>
      </c>
    </row>
    <row r="10" spans="1:10" x14ac:dyDescent="0.2">
      <c r="A10">
        <f t="shared" si="3"/>
        <v>0.69813170079773179</v>
      </c>
      <c r="B10">
        <f t="shared" si="0"/>
        <v>0.70186667064306596</v>
      </c>
      <c r="C10">
        <f t="shared" si="1"/>
        <v>1.9283628290596178</v>
      </c>
      <c r="D10">
        <f t="shared" si="2"/>
        <v>19.645515562343501</v>
      </c>
      <c r="E10">
        <f t="shared" si="4"/>
        <v>0.91693109578568155</v>
      </c>
      <c r="F10">
        <f t="shared" si="5"/>
        <v>1.7479023492430954</v>
      </c>
    </row>
    <row r="11" spans="1:10" x14ac:dyDescent="0.2">
      <c r="A11">
        <f t="shared" si="3"/>
        <v>0.78539816339744828</v>
      </c>
      <c r="B11">
        <f t="shared" si="0"/>
        <v>0.87867965644035728</v>
      </c>
      <c r="C11">
        <f t="shared" si="1"/>
        <v>2.1213203435596424</v>
      </c>
      <c r="D11">
        <f t="shared" si="2"/>
        <v>24.594578410594345</v>
      </c>
      <c r="E11">
        <f t="shared" si="4"/>
        <v>1.1272077938642144</v>
      </c>
      <c r="F11">
        <f t="shared" si="5"/>
        <v>1.8727922061357853</v>
      </c>
    </row>
    <row r="12" spans="1:10" x14ac:dyDescent="0.2">
      <c r="A12">
        <f t="shared" si="3"/>
        <v>0.87266462599716477</v>
      </c>
      <c r="B12">
        <f t="shared" si="0"/>
        <v>1.0716371709403818</v>
      </c>
      <c r="C12">
        <f t="shared" si="1"/>
        <v>2.2981333293569342</v>
      </c>
      <c r="D12">
        <f t="shared" si="2"/>
        <v>29.995532769216592</v>
      </c>
      <c r="E12">
        <f t="shared" si="4"/>
        <v>1.3471712091643873</v>
      </c>
      <c r="F12">
        <f t="shared" si="5"/>
        <v>1.9697646494214853</v>
      </c>
    </row>
    <row r="13" spans="1:10" x14ac:dyDescent="0.2">
      <c r="A13">
        <f t="shared" si="3"/>
        <v>0.95993108859688125</v>
      </c>
      <c r="B13">
        <f t="shared" si="0"/>
        <v>1.2792706909468614</v>
      </c>
      <c r="C13">
        <f t="shared" si="1"/>
        <v>2.4574561328669753</v>
      </c>
      <c r="D13">
        <f t="shared" si="2"/>
        <v>35.807274114355721</v>
      </c>
      <c r="E13">
        <f t="shared" si="4"/>
        <v>1.5727745005635181</v>
      </c>
      <c r="F13">
        <f t="shared" si="5"/>
        <v>2.03828925219173</v>
      </c>
    </row>
    <row r="14" spans="1:10" x14ac:dyDescent="0.2">
      <c r="A14">
        <f t="shared" si="3"/>
        <v>1.0471975511965976</v>
      </c>
      <c r="B14">
        <f t="shared" si="0"/>
        <v>1.4999999999999996</v>
      </c>
      <c r="C14">
        <f t="shared" si="1"/>
        <v>2.598076211353316</v>
      </c>
      <c r="D14">
        <f t="shared" si="2"/>
        <v>41.985571585149856</v>
      </c>
      <c r="E14">
        <f t="shared" si="4"/>
        <v>1.7999999999999996</v>
      </c>
      <c r="F14">
        <f t="shared" si="5"/>
        <v>2.078460969082653</v>
      </c>
    </row>
    <row r="15" spans="1:10" x14ac:dyDescent="0.2">
      <c r="A15">
        <f>A14</f>
        <v>1.0471975511965976</v>
      </c>
      <c r="B15">
        <f t="shared" si="0"/>
        <v>1.4999999999999996</v>
      </c>
      <c r="C15">
        <f t="shared" si="1"/>
        <v>2.598076211353316</v>
      </c>
      <c r="D15">
        <f t="shared" ref="D15:D21" si="6">Ra*B15-P*SIN($A$15)*(B15-$B$15)-P*COS($A$15)*(C15-$C$15)</f>
        <v>41.985571585149856</v>
      </c>
      <c r="E15">
        <f t="shared" si="4"/>
        <v>1.7999999999999996</v>
      </c>
      <c r="F15">
        <f t="shared" si="5"/>
        <v>2.078460969082653</v>
      </c>
    </row>
    <row r="16" spans="1:10" x14ac:dyDescent="0.2">
      <c r="A16">
        <f t="shared" ref="A16:A21" si="7">A15+PI()/36</f>
        <v>1.134464013796314</v>
      </c>
      <c r="B16">
        <f t="shared" si="0"/>
        <v>1.7321452147779013</v>
      </c>
      <c r="C16">
        <f t="shared" si="1"/>
        <v>2.7189233611099493</v>
      </c>
      <c r="D16">
        <f t="shared" si="6"/>
        <v>40.639387759999025</v>
      </c>
      <c r="E16">
        <f t="shared" si="4"/>
        <v>1.9775859235486035</v>
      </c>
      <c r="F16">
        <f t="shared" si="5"/>
        <v>2.1925740625764076</v>
      </c>
    </row>
    <row r="17" spans="1:6" x14ac:dyDescent="0.2">
      <c r="A17">
        <f t="shared" si="7"/>
        <v>1.2217304763960304</v>
      </c>
      <c r="B17">
        <f t="shared" si="0"/>
        <v>1.9739395700229927</v>
      </c>
      <c r="C17">
        <f t="shared" si="1"/>
        <v>2.8190778623577248</v>
      </c>
      <c r="D17">
        <f t="shared" si="6"/>
        <v>39.622984757949837</v>
      </c>
      <c r="E17">
        <f t="shared" si="4"/>
        <v>2.1676040849636165</v>
      </c>
      <c r="F17">
        <f t="shared" si="5"/>
        <v>2.2869889806087293</v>
      </c>
    </row>
    <row r="18" spans="1:6" x14ac:dyDescent="0.2">
      <c r="A18">
        <f t="shared" si="7"/>
        <v>1.3089969389957468</v>
      </c>
      <c r="B18">
        <f t="shared" si="0"/>
        <v>2.2235428646924364</v>
      </c>
      <c r="C18">
        <f t="shared" si="1"/>
        <v>2.8977774788672046</v>
      </c>
      <c r="D18">
        <f t="shared" si="6"/>
        <v>38.944098019568827</v>
      </c>
      <c r="E18">
        <f t="shared" si="4"/>
        <v>2.3675848374167359</v>
      </c>
      <c r="F18">
        <f t="shared" si="5"/>
        <v>2.3602055182376698</v>
      </c>
    </row>
    <row r="19" spans="1:6" x14ac:dyDescent="0.2">
      <c r="A19">
        <f t="shared" si="7"/>
        <v>1.3962634015954631</v>
      </c>
      <c r="B19">
        <f t="shared" si="0"/>
        <v>2.4790554669992075</v>
      </c>
      <c r="C19">
        <f t="shared" si="1"/>
        <v>2.9544232590366239</v>
      </c>
      <c r="D19">
        <f t="shared" si="6"/>
        <v>38.607894282858098</v>
      </c>
      <c r="E19">
        <f t="shared" si="4"/>
        <v>2.5748625297495034</v>
      </c>
      <c r="F19">
        <f t="shared" si="5"/>
        <v>2.4110744058698987</v>
      </c>
    </row>
    <row r="20" spans="1:6" x14ac:dyDescent="0.2">
      <c r="A20">
        <f t="shared" si="7"/>
        <v>1.4835298641951795</v>
      </c>
      <c r="B20">
        <f t="shared" si="0"/>
        <v>2.7385327717570238</v>
      </c>
      <c r="C20">
        <f t="shared" si="1"/>
        <v>2.9885840942752364</v>
      </c>
      <c r="D20">
        <f t="shared" si="6"/>
        <v>38.616932261259358</v>
      </c>
      <c r="E20">
        <f t="shared" si="4"/>
        <v>2.7866305437314778</v>
      </c>
      <c r="F20">
        <f t="shared" si="5"/>
        <v>2.4388240449609428</v>
      </c>
    </row>
    <row r="21" spans="1:6" x14ac:dyDescent="0.2">
      <c r="A21">
        <f t="shared" si="7"/>
        <v>1.5707963267948959</v>
      </c>
      <c r="B21">
        <f t="shared" si="0"/>
        <v>2.9999999999999978</v>
      </c>
      <c r="C21">
        <f t="shared" si="1"/>
        <v>3</v>
      </c>
      <c r="D21">
        <f t="shared" si="6"/>
        <v>38.971143170299733</v>
      </c>
      <c r="E21">
        <f t="shared" si="4"/>
        <v>2.9999999999999982</v>
      </c>
      <c r="F21">
        <f t="shared" si="5"/>
        <v>2.4430780618346946</v>
      </c>
    </row>
    <row r="22" spans="1:6" x14ac:dyDescent="0.2">
      <c r="A22">
        <f>A21</f>
        <v>1.5707963267948959</v>
      </c>
      <c r="B22">
        <f t="shared" si="0"/>
        <v>2.9999999999999978</v>
      </c>
      <c r="C22">
        <f t="shared" si="1"/>
        <v>3</v>
      </c>
      <c r="D22">
        <f t="shared" ref="D22:D40" si="8">Ra*B22-P*SIN($A$15)*(B22-$B$15)-P*COS($A$15)*(C22-$C$15)-q*(B22-$B$22)^2*0.5</f>
        <v>38.971143170299733</v>
      </c>
      <c r="E22">
        <f t="shared" si="4"/>
        <v>2.9999999999999982</v>
      </c>
      <c r="F22">
        <f t="shared" si="5"/>
        <v>2.4430780618346946</v>
      </c>
    </row>
    <row r="23" spans="1:6" x14ac:dyDescent="0.2">
      <c r="A23">
        <f>A21+PI()/36</f>
        <v>1.6580627893946123</v>
      </c>
      <c r="B23">
        <f t="shared" si="0"/>
        <v>3.2614672282429717</v>
      </c>
      <c r="C23">
        <f t="shared" si="1"/>
        <v>2.9885840942752369</v>
      </c>
      <c r="D23">
        <f t="shared" si="8"/>
        <v>38.984180136632361</v>
      </c>
      <c r="E23">
        <f t="shared" si="4"/>
        <v>3.2129120453988955</v>
      </c>
      <c r="F23">
        <f t="shared" si="5"/>
        <v>2.4335958147973011</v>
      </c>
    </row>
    <row r="24" spans="1:6" x14ac:dyDescent="0.2">
      <c r="A24">
        <f t="shared" ref="A24:A40" si="9">A23+PI()/36</f>
        <v>1.7453292519943286</v>
      </c>
      <c r="B24">
        <f t="shared" si="0"/>
        <v>3.5209445330007885</v>
      </c>
      <c r="C24">
        <f t="shared" si="1"/>
        <v>2.9544232590366248</v>
      </c>
      <c r="D24">
        <f t="shared" si="8"/>
        <v>37.987862222008523</v>
      </c>
      <c r="E24">
        <f t="shared" si="4"/>
        <v>3.426676105072838</v>
      </c>
      <c r="F24">
        <f t="shared" si="5"/>
        <v>2.419800437564894</v>
      </c>
    </row>
    <row r="25" spans="1:6" x14ac:dyDescent="0.2">
      <c r="A25">
        <f t="shared" si="9"/>
        <v>1.832595714594045</v>
      </c>
      <c r="B25">
        <f t="shared" si="0"/>
        <v>3.7764571353075596</v>
      </c>
      <c r="C25">
        <f t="shared" si="1"/>
        <v>2.8977774788672055</v>
      </c>
      <c r="D25">
        <f t="shared" si="8"/>
        <v>36.036007125314221</v>
      </c>
      <c r="E25">
        <f t="shared" si="4"/>
        <v>3.6431712763610027</v>
      </c>
      <c r="F25">
        <f t="shared" si="5"/>
        <v>2.400347881348194</v>
      </c>
    </row>
    <row r="26" spans="1:6" x14ac:dyDescent="0.2">
      <c r="A26">
        <f t="shared" si="9"/>
        <v>1.9198621771937614</v>
      </c>
      <c r="B26">
        <f t="shared" si="0"/>
        <v>4.0260604299770026</v>
      </c>
      <c r="C26">
        <f t="shared" si="1"/>
        <v>2.8190778623577262</v>
      </c>
      <c r="D26">
        <f t="shared" si="8"/>
        <v>33.218965652271891</v>
      </c>
      <c r="E26">
        <f t="shared" si="4"/>
        <v>3.863696718379388</v>
      </c>
      <c r="F26">
        <f t="shared" si="5"/>
        <v>2.3729872310044353</v>
      </c>
    </row>
    <row r="27" spans="1:6" x14ac:dyDescent="0.2">
      <c r="A27">
        <f t="shared" si="9"/>
        <v>2.007128639793478</v>
      </c>
      <c r="B27">
        <f t="shared" si="0"/>
        <v>4.2678547852220952</v>
      </c>
      <c r="C27">
        <f t="shared" si="1"/>
        <v>2.718923361109951</v>
      </c>
      <c r="D27">
        <f t="shared" si="8"/>
        <v>29.660640183196225</v>
      </c>
      <c r="E27">
        <f t="shared" si="4"/>
        <v>4.0887199864365193</v>
      </c>
      <c r="F27">
        <f t="shared" si="5"/>
        <v>2.3347675454101946</v>
      </c>
    </row>
    <row r="28" spans="1:6" x14ac:dyDescent="0.2">
      <c r="A28">
        <f t="shared" si="9"/>
        <v>2.0943951023931944</v>
      </c>
      <c r="B28">
        <f t="shared" si="0"/>
        <v>4.4999999999999973</v>
      </c>
      <c r="C28">
        <f t="shared" si="1"/>
        <v>2.5980762113533173</v>
      </c>
      <c r="D28">
        <f t="shared" si="8"/>
        <v>25.514428414850123</v>
      </c>
      <c r="E28">
        <f t="shared" si="4"/>
        <v>4.3176914536239765</v>
      </c>
      <c r="F28">
        <f t="shared" si="5"/>
        <v>2.2823085463760222</v>
      </c>
    </row>
    <row r="29" spans="1:6" x14ac:dyDescent="0.2">
      <c r="A29">
        <f t="shared" si="9"/>
        <v>2.1816615649929108</v>
      </c>
      <c r="B29">
        <f t="shared" si="0"/>
        <v>4.7207293090531355</v>
      </c>
      <c r="C29">
        <f t="shared" si="1"/>
        <v>2.4574561328669775</v>
      </c>
      <c r="D29">
        <f t="shared" si="8"/>
        <v>20.95821784260033</v>
      </c>
      <c r="E29">
        <f t="shared" si="4"/>
        <v>4.5489397235087612</v>
      </c>
      <c r="F29">
        <f t="shared" si="5"/>
        <v>2.2121151786927249</v>
      </c>
    </row>
    <row r="30" spans="1:6" x14ac:dyDescent="0.2">
      <c r="A30">
        <f t="shared" si="9"/>
        <v>2.2689280275926271</v>
      </c>
      <c r="B30">
        <f t="shared" si="0"/>
        <v>4.9283628290596155</v>
      </c>
      <c r="C30">
        <f t="shared" si="1"/>
        <v>2.2981333293569368</v>
      </c>
      <c r="D30">
        <f t="shared" si="8"/>
        <v>16.188585695662944</v>
      </c>
      <c r="E30">
        <f t="shared" si="4"/>
        <v>4.7796571393097391</v>
      </c>
      <c r="F30">
        <f t="shared" si="5"/>
        <v>2.1209127893583211</v>
      </c>
    </row>
    <row r="31" spans="1:6" x14ac:dyDescent="0.2">
      <c r="A31">
        <f t="shared" si="9"/>
        <v>2.3561944901923435</v>
      </c>
      <c r="B31">
        <f t="shared" si="0"/>
        <v>5.1213203435596402</v>
      </c>
      <c r="C31">
        <f t="shared" si="1"/>
        <v>2.1213203435596455</v>
      </c>
      <c r="D31">
        <f t="shared" si="8"/>
        <v>11.414383563988956</v>
      </c>
      <c r="E31">
        <f t="shared" si="4"/>
        <v>5.0059780335740509</v>
      </c>
      <c r="F31">
        <f t="shared" si="5"/>
        <v>2.0059780335740558</v>
      </c>
    </row>
    <row r="32" spans="1:6" x14ac:dyDescent="0.2">
      <c r="A32">
        <f t="shared" si="9"/>
        <v>2.4434609527920599</v>
      </c>
      <c r="B32">
        <f t="shared" si="0"/>
        <v>5.298133329356931</v>
      </c>
      <c r="C32">
        <f t="shared" si="1"/>
        <v>1.9283628290596213</v>
      </c>
      <c r="D32">
        <f t="shared" si="8"/>
        <v>6.8499050121453777</v>
      </c>
      <c r="E32">
        <f t="shared" si="4"/>
        <v>5.2231456875694926</v>
      </c>
      <c r="F32">
        <f t="shared" si="5"/>
        <v>1.8654407264929274</v>
      </c>
    </row>
    <row r="33" spans="1:6" x14ac:dyDescent="0.2">
      <c r="A33">
        <f t="shared" si="9"/>
        <v>2.5307274153917763</v>
      </c>
      <c r="B33">
        <f t="shared" si="0"/>
        <v>5.4574561328669731</v>
      </c>
      <c r="C33">
        <f t="shared" si="1"/>
        <v>1.7207293090531421</v>
      </c>
      <c r="D33">
        <f t="shared" si="8"/>
        <v>2.7078474816221529</v>
      </c>
      <c r="E33">
        <f t="shared" si="4"/>
        <v>5.4257575461889989</v>
      </c>
      <c r="F33">
        <f t="shared" si="5"/>
        <v>1.6985337197106309</v>
      </c>
    </row>
    <row r="34" spans="1:6" x14ac:dyDescent="0.2">
      <c r="A34">
        <f t="shared" si="9"/>
        <v>2.6179938779914926</v>
      </c>
      <c r="B34">
        <f t="shared" si="0"/>
        <v>5.5980762113533142</v>
      </c>
      <c r="C34">
        <f t="shared" si="1"/>
        <v>1.5000000000000044</v>
      </c>
      <c r="D34">
        <f t="shared" si="8"/>
        <v>-0.80771365940060491</v>
      </c>
      <c r="E34">
        <f t="shared" si="4"/>
        <v>5.6080725103905582</v>
      </c>
      <c r="F34">
        <f t="shared" si="5"/>
        <v>1.5057713659400573</v>
      </c>
    </row>
    <row r="35" spans="1:6" x14ac:dyDescent="0.2">
      <c r="A35">
        <f t="shared" si="9"/>
        <v>2.705260340591209</v>
      </c>
      <c r="B35">
        <f t="shared" si="0"/>
        <v>5.7189233611099475</v>
      </c>
      <c r="C35">
        <f t="shared" si="1"/>
        <v>1.2678547852221034</v>
      </c>
      <c r="D35">
        <f t="shared" si="8"/>
        <v>-3.5081211522396103</v>
      </c>
      <c r="E35">
        <f t="shared" si="4"/>
        <v>5.7643595059297636</v>
      </c>
      <c r="F35">
        <f t="shared" si="5"/>
        <v>1.2890420075086235</v>
      </c>
    </row>
    <row r="36" spans="1:6" x14ac:dyDescent="0.2">
      <c r="A36">
        <f t="shared" si="9"/>
        <v>2.7925268031909254</v>
      </c>
      <c r="B36">
        <f t="shared" si="0"/>
        <v>5.8190778623577231</v>
      </c>
      <c r="C36">
        <f t="shared" si="1"/>
        <v>1.0260604299770115</v>
      </c>
      <c r="D36">
        <f t="shared" si="8"/>
        <v>-5.2264909450653931</v>
      </c>
      <c r="E36">
        <f t="shared" si="4"/>
        <v>5.8892633301971475</v>
      </c>
      <c r="F36">
        <f t="shared" si="5"/>
        <v>1.0516058511486099</v>
      </c>
    </row>
    <row r="37" spans="1:6" x14ac:dyDescent="0.2">
      <c r="A37">
        <f t="shared" si="9"/>
        <v>2.8797932657906418</v>
      </c>
      <c r="B37">
        <f t="shared" si="0"/>
        <v>5.8977774788672033</v>
      </c>
      <c r="C37">
        <f t="shared" si="1"/>
        <v>0.77645713530756821</v>
      </c>
      <c r="D37">
        <f t="shared" si="8"/>
        <v>-5.8234285148068068</v>
      </c>
      <c r="E37">
        <f t="shared" si="4"/>
        <v>5.9781622365965417</v>
      </c>
      <c r="F37">
        <f t="shared" si="5"/>
        <v>0.79799616622491598</v>
      </c>
    </row>
    <row r="38" spans="1:6" x14ac:dyDescent="0.2">
      <c r="A38">
        <f t="shared" si="9"/>
        <v>2.9670597283903581</v>
      </c>
      <c r="B38">
        <f t="shared" si="0"/>
        <v>5.9544232590366235</v>
      </c>
      <c r="C38">
        <f t="shared" si="1"/>
        <v>0.52094453300079735</v>
      </c>
      <c r="D38">
        <f t="shared" si="8"/>
        <v>-5.1919278123887693</v>
      </c>
      <c r="E38">
        <f t="shared" si="4"/>
        <v>6.0274919429155682</v>
      </c>
      <c r="F38">
        <f t="shared" si="5"/>
        <v>0.53382851341351301</v>
      </c>
    </row>
    <row r="39" spans="1:6" x14ac:dyDescent="0.2">
      <c r="A39">
        <f t="shared" si="9"/>
        <v>3.0543261909900745</v>
      </c>
      <c r="B39">
        <f t="shared" si="0"/>
        <v>5.988584094275236</v>
      </c>
      <c r="C39">
        <f t="shared" si="1"/>
        <v>0.26146722824298119</v>
      </c>
      <c r="D39">
        <f t="shared" si="8"/>
        <v>-3.2612989295927974</v>
      </c>
      <c r="E39">
        <f t="shared" si="4"/>
        <v>6.0350127398297735</v>
      </c>
      <c r="F39">
        <f t="shared" si="5"/>
        <v>0.26552920839186661</v>
      </c>
    </row>
    <row r="40" spans="1:6" x14ac:dyDescent="0.2">
      <c r="A40">
        <f t="shared" si="9"/>
        <v>3.1415926535897909</v>
      </c>
      <c r="B40">
        <f t="shared" si="0"/>
        <v>6</v>
      </c>
      <c r="C40">
        <f t="shared" si="1"/>
        <v>7.0288826842235252E-15</v>
      </c>
      <c r="D40">
        <f t="shared" si="8"/>
        <v>-2.2737367544323206E-13</v>
      </c>
      <c r="E40">
        <f t="shared" si="4"/>
        <v>6.0000000000000036</v>
      </c>
      <c r="F40">
        <f t="shared" si="5"/>
        <v>7.0288826842235331E-15</v>
      </c>
    </row>
    <row r="42" spans="1:6" x14ac:dyDescent="0.2">
      <c r="B42">
        <f>MAX(B2:B40)</f>
        <v>6</v>
      </c>
      <c r="C42">
        <f>MAX(C2:C40)</f>
        <v>3</v>
      </c>
      <c r="D42">
        <f>MAX(MAX(D2:D40),-MIN(D2:D40))</f>
        <v>41.985571585149856</v>
      </c>
      <c r="E42">
        <f>MAX(E2:E40,B42)</f>
        <v>6.0350127398297735</v>
      </c>
      <c r="F42">
        <f>MAX(F2:F40,C42)</f>
        <v>3</v>
      </c>
    </row>
    <row r="43" spans="1:6" x14ac:dyDescent="0.2">
      <c r="B43">
        <f>MIN(B2:B40)</f>
        <v>0</v>
      </c>
      <c r="C43">
        <f>MIN(C2:C40)</f>
        <v>0</v>
      </c>
      <c r="D43">
        <f>0.2*_R/D42</f>
        <v>1.4290623596326551E-2</v>
      </c>
      <c r="E43">
        <f>MIN(E2:E40,B43)</f>
        <v>0</v>
      </c>
      <c r="F43">
        <f>MIN(F2:F40,C43)</f>
        <v>0</v>
      </c>
    </row>
    <row r="44" spans="1:6" x14ac:dyDescent="0.2">
      <c r="E44">
        <v>1</v>
      </c>
      <c r="F44">
        <v>1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43"/>
  <sheetViews>
    <sheetView workbookViewId="0">
      <selection activeCell="I1" sqref="I1:J4"/>
    </sheetView>
  </sheetViews>
  <sheetFormatPr defaultRowHeight="12.75" x14ac:dyDescent="0.2"/>
  <sheetData>
    <row r="1" spans="1:10" x14ac:dyDescent="0.2">
      <c r="A1" t="s">
        <v>6</v>
      </c>
      <c r="B1" t="s">
        <v>11</v>
      </c>
      <c r="C1" t="s">
        <v>12</v>
      </c>
      <c r="D1" t="s">
        <v>8</v>
      </c>
      <c r="E1" t="s">
        <v>29</v>
      </c>
      <c r="F1" t="s">
        <v>30</v>
      </c>
      <c r="I1" t="s">
        <v>33</v>
      </c>
    </row>
    <row r="2" spans="1:10" x14ac:dyDescent="0.2">
      <c r="A2">
        <v>0</v>
      </c>
      <c r="B2">
        <f t="shared" ref="B2:B40" si="0">_R*(1-COS(A2))</f>
        <v>0</v>
      </c>
      <c r="C2">
        <f t="shared" ref="C2:C40" si="1">_R*SIN(A2)</f>
        <v>0</v>
      </c>
      <c r="D2">
        <f t="shared" ref="D2:D14" si="2">Ra*SIN(A2)</f>
        <v>0</v>
      </c>
      <c r="E2">
        <f>B2+$D$43*D2*COS(A2)</f>
        <v>0</v>
      </c>
      <c r="F2">
        <f>C2-$D$43*D2*SIN(A2)</f>
        <v>0</v>
      </c>
      <c r="I2">
        <f>CEILING(E42+0.1*(E42-E43),0.1)</f>
        <v>6.6000000000000005</v>
      </c>
      <c r="J2">
        <f>CEILING(F42+0.1*(F42-F43),0.1)</f>
        <v>3.5</v>
      </c>
    </row>
    <row r="3" spans="1:10" x14ac:dyDescent="0.2">
      <c r="A3">
        <f t="shared" ref="A3:A14" si="3">A2+PI()/36</f>
        <v>8.7266462599716474E-2</v>
      </c>
      <c r="B3">
        <f t="shared" si="0"/>
        <v>1.1415905724763364E-2</v>
      </c>
      <c r="C3">
        <f t="shared" si="1"/>
        <v>0.26146722824297453</v>
      </c>
      <c r="D3">
        <f t="shared" si="2"/>
        <v>2.4395224507924724</v>
      </c>
      <c r="E3">
        <f t="shared" ref="E3:E40" si="4">B3+$D$43*D3*COS(A3)</f>
        <v>7.1569398996937483E-2</v>
      </c>
      <c r="F3">
        <f t="shared" ref="F3:F40" si="5">C3-$D$43*D3*SIN(A3)</f>
        <v>0.25620447951017633</v>
      </c>
      <c r="I3">
        <f>CEILING(E43-0.1*(E42-E43),-1)</f>
        <v>-1</v>
      </c>
      <c r="J3">
        <f>CEILING(F43-0.1*(F42-F43),-1)</f>
        <v>-1</v>
      </c>
    </row>
    <row r="4" spans="1:10" x14ac:dyDescent="0.2">
      <c r="A4">
        <f t="shared" si="3"/>
        <v>0.17453292519943295</v>
      </c>
      <c r="B4">
        <f t="shared" si="0"/>
        <v>4.5576740963375939E-2</v>
      </c>
      <c r="C4">
        <f t="shared" si="1"/>
        <v>0.52094453300079102</v>
      </c>
      <c r="D4">
        <f t="shared" si="2"/>
        <v>4.8604786627104843</v>
      </c>
      <c r="E4">
        <f t="shared" si="4"/>
        <v>0.16405599405378549</v>
      </c>
      <c r="F4">
        <f t="shared" si="5"/>
        <v>0.50005344402676499</v>
      </c>
      <c r="I4">
        <v>1</v>
      </c>
      <c r="J4">
        <v>1</v>
      </c>
    </row>
    <row r="5" spans="1:10" x14ac:dyDescent="0.2">
      <c r="A5">
        <f t="shared" si="3"/>
        <v>0.26179938779914941</v>
      </c>
      <c r="B5">
        <f t="shared" si="0"/>
        <v>0.10222252113279506</v>
      </c>
      <c r="C5">
        <f t="shared" si="1"/>
        <v>0.77645713530756222</v>
      </c>
      <c r="D5">
        <f t="shared" si="2"/>
        <v>7.2444436971680117</v>
      </c>
      <c r="E5">
        <f t="shared" si="4"/>
        <v>0.27542760188968279</v>
      </c>
      <c r="F5">
        <f t="shared" si="5"/>
        <v>0.7300469737937868</v>
      </c>
    </row>
    <row r="6" spans="1:10" x14ac:dyDescent="0.2">
      <c r="A6">
        <f t="shared" si="3"/>
        <v>0.3490658503988659</v>
      </c>
      <c r="B6">
        <f t="shared" si="0"/>
        <v>0.18092213764227472</v>
      </c>
      <c r="C6">
        <f t="shared" si="1"/>
        <v>1.0260604299770062</v>
      </c>
      <c r="D6">
        <f t="shared" si="2"/>
        <v>9.5732741407753874</v>
      </c>
      <c r="E6">
        <f t="shared" si="4"/>
        <v>0.40359029733284246</v>
      </c>
      <c r="F6">
        <f t="shared" si="5"/>
        <v>0.94501584773080616</v>
      </c>
    </row>
    <row r="7" spans="1:10" x14ac:dyDescent="0.2">
      <c r="A7">
        <f t="shared" si="3"/>
        <v>0.43633231299858238</v>
      </c>
      <c r="B7">
        <f t="shared" si="0"/>
        <v>0.28107663889005019</v>
      </c>
      <c r="C7">
        <f t="shared" si="1"/>
        <v>1.2678547852220983</v>
      </c>
      <c r="D7">
        <f t="shared" si="2"/>
        <v>11.829246187670494</v>
      </c>
      <c r="E7">
        <f t="shared" si="4"/>
        <v>0.54644221815762561</v>
      </c>
      <c r="F7">
        <f t="shared" si="5"/>
        <v>1.1441127833988904</v>
      </c>
    </row>
    <row r="8" spans="1:10" x14ac:dyDescent="0.2">
      <c r="A8">
        <f t="shared" si="3"/>
        <v>0.52359877559829882</v>
      </c>
      <c r="B8">
        <f t="shared" si="0"/>
        <v>0.40192378864668388</v>
      </c>
      <c r="C8">
        <f t="shared" si="1"/>
        <v>1.4999999999999998</v>
      </c>
      <c r="D8">
        <f t="shared" si="2"/>
        <v>13.995190528383288</v>
      </c>
      <c r="E8">
        <f t="shared" si="4"/>
        <v>0.70192378864668392</v>
      </c>
      <c r="F8">
        <f t="shared" si="5"/>
        <v>1.3267949192431121</v>
      </c>
    </row>
    <row r="9" spans="1:10" x14ac:dyDescent="0.2">
      <c r="A9">
        <f t="shared" si="3"/>
        <v>0.6108652381980153</v>
      </c>
      <c r="B9">
        <f t="shared" si="0"/>
        <v>0.5425438671330246</v>
      </c>
      <c r="C9">
        <f t="shared" si="1"/>
        <v>1.7207293090531381</v>
      </c>
      <c r="D9">
        <f t="shared" si="2"/>
        <v>16.054623018648002</v>
      </c>
      <c r="E9">
        <f t="shared" si="4"/>
        <v>0.86806293967277415</v>
      </c>
      <c r="F9">
        <f t="shared" si="5"/>
        <v>1.4927984006297723</v>
      </c>
    </row>
    <row r="10" spans="1:10" x14ac:dyDescent="0.2">
      <c r="A10">
        <f t="shared" si="3"/>
        <v>0.69813170079773179</v>
      </c>
      <c r="B10">
        <f t="shared" si="0"/>
        <v>0.70186667064306596</v>
      </c>
      <c r="C10">
        <f t="shared" si="1"/>
        <v>1.9283628290596178</v>
      </c>
      <c r="D10">
        <f t="shared" si="2"/>
        <v>17.991870133694377</v>
      </c>
      <c r="E10">
        <f t="shared" si="4"/>
        <v>1.0430140834240431</v>
      </c>
      <c r="F10">
        <f t="shared" si="5"/>
        <v>1.6421061608180165</v>
      </c>
    </row>
    <row r="11" spans="1:10" x14ac:dyDescent="0.2">
      <c r="A11">
        <f t="shared" si="3"/>
        <v>0.78539816339744828</v>
      </c>
      <c r="B11">
        <f t="shared" si="0"/>
        <v>0.87867965644035728</v>
      </c>
      <c r="C11">
        <f t="shared" si="1"/>
        <v>2.1213203435596424</v>
      </c>
      <c r="D11">
        <f t="shared" si="2"/>
        <v>19.792188253235128</v>
      </c>
      <c r="E11">
        <f t="shared" si="4"/>
        <v>1.2250898179541327</v>
      </c>
      <c r="F11">
        <f t="shared" si="5"/>
        <v>1.774910182045867</v>
      </c>
    </row>
    <row r="12" spans="1:10" x14ac:dyDescent="0.2">
      <c r="A12">
        <f t="shared" si="3"/>
        <v>0.87266462599716477</v>
      </c>
      <c r="B12">
        <f t="shared" si="0"/>
        <v>1.0716371709403818</v>
      </c>
      <c r="C12">
        <f t="shared" si="1"/>
        <v>2.2981333293569342</v>
      </c>
      <c r="D12">
        <f t="shared" si="2"/>
        <v>21.441875869318746</v>
      </c>
      <c r="E12">
        <f t="shared" si="4"/>
        <v>1.4127845837213591</v>
      </c>
      <c r="F12">
        <f t="shared" si="5"/>
        <v>1.8915696745709845</v>
      </c>
    </row>
    <row r="13" spans="1:10" x14ac:dyDescent="0.2">
      <c r="A13">
        <f t="shared" si="3"/>
        <v>0.95993108859688125</v>
      </c>
      <c r="B13">
        <f t="shared" si="0"/>
        <v>1.2792706909468614</v>
      </c>
      <c r="C13">
        <f t="shared" si="1"/>
        <v>2.4574561328669753</v>
      </c>
      <c r="D13">
        <f t="shared" si="2"/>
        <v>22.928377863078214</v>
      </c>
      <c r="E13">
        <f t="shared" si="4"/>
        <v>1.6047897634866111</v>
      </c>
      <c r="F13">
        <f t="shared" si="5"/>
        <v>1.9925667182627902</v>
      </c>
    </row>
    <row r="14" spans="1:10" x14ac:dyDescent="0.2">
      <c r="A14">
        <f t="shared" si="3"/>
        <v>1.0471975511965976</v>
      </c>
      <c r="B14">
        <f t="shared" si="0"/>
        <v>1.4999999999999996</v>
      </c>
      <c r="C14">
        <f t="shared" si="1"/>
        <v>2.598076211353316</v>
      </c>
      <c r="D14">
        <f t="shared" si="2"/>
        <v>24.24038105676658</v>
      </c>
      <c r="E14">
        <f t="shared" si="4"/>
        <v>1.7999999999999996</v>
      </c>
      <c r="F14">
        <f t="shared" si="5"/>
        <v>2.078460969082653</v>
      </c>
    </row>
    <row r="15" spans="1:10" x14ac:dyDescent="0.2">
      <c r="A15">
        <f>A14</f>
        <v>1.0471975511965976</v>
      </c>
      <c r="B15">
        <f t="shared" si="0"/>
        <v>1.4999999999999996</v>
      </c>
      <c r="C15">
        <f t="shared" si="1"/>
        <v>2.598076211353316</v>
      </c>
      <c r="D15">
        <f t="shared" ref="D15:D21" si="6">(Ra-P*SIN($A$15))*SIN(A15)-P*COS($A$15)*COS(A15)</f>
        <v>-5.7596189432334217</v>
      </c>
      <c r="E15">
        <f t="shared" si="4"/>
        <v>1.4287187078897958</v>
      </c>
      <c r="F15">
        <f t="shared" si="5"/>
        <v>2.7215390309173473</v>
      </c>
    </row>
    <row r="16" spans="1:10" x14ac:dyDescent="0.2">
      <c r="A16">
        <f t="shared" ref="A16:A21" si="7">A15+PI()/36</f>
        <v>1.134464013796314</v>
      </c>
      <c r="B16">
        <f t="shared" si="0"/>
        <v>1.7321452147779013</v>
      </c>
      <c r="C16">
        <f t="shared" si="1"/>
        <v>2.7189233611099493</v>
      </c>
      <c r="D16">
        <f t="shared" si="6"/>
        <v>-4.5179406288816804</v>
      </c>
      <c r="E16">
        <f t="shared" si="4"/>
        <v>1.6848844672487033</v>
      </c>
      <c r="F16">
        <f t="shared" si="5"/>
        <v>2.8202743612547692</v>
      </c>
    </row>
    <row r="17" spans="1:6" x14ac:dyDescent="0.2">
      <c r="A17">
        <f t="shared" si="7"/>
        <v>1.2217304763960304</v>
      </c>
      <c r="B17">
        <f t="shared" si="0"/>
        <v>1.9739395700229927</v>
      </c>
      <c r="C17">
        <f t="shared" si="1"/>
        <v>2.8190778623577248</v>
      </c>
      <c r="D17">
        <f t="shared" si="6"/>
        <v>-3.2418780583370141</v>
      </c>
      <c r="E17">
        <f t="shared" si="4"/>
        <v>1.9464947638816985</v>
      </c>
      <c r="F17">
        <f t="shared" si="5"/>
        <v>2.8944818475122402</v>
      </c>
    </row>
    <row r="18" spans="1:6" x14ac:dyDescent="0.2">
      <c r="A18">
        <f t="shared" si="7"/>
        <v>1.3089969389957468</v>
      </c>
      <c r="B18">
        <f t="shared" si="0"/>
        <v>2.2235428646924364</v>
      </c>
      <c r="C18">
        <f t="shared" si="1"/>
        <v>2.8977774788672046</v>
      </c>
      <c r="D18">
        <f t="shared" si="6"/>
        <v>-1.94114283826891</v>
      </c>
      <c r="E18">
        <f t="shared" si="4"/>
        <v>2.2111072993942225</v>
      </c>
      <c r="F18">
        <f t="shared" si="5"/>
        <v>2.9441876403809801</v>
      </c>
    </row>
    <row r="19" spans="1:6" x14ac:dyDescent="0.2">
      <c r="A19">
        <f t="shared" si="7"/>
        <v>1.3962634015954631</v>
      </c>
      <c r="B19">
        <f t="shared" si="0"/>
        <v>2.4790554669992075</v>
      </c>
      <c r="C19">
        <f t="shared" si="1"/>
        <v>2.9544232590366239</v>
      </c>
      <c r="D19">
        <f t="shared" si="6"/>
        <v>-0.62563434910748783</v>
      </c>
      <c r="E19">
        <f t="shared" si="4"/>
        <v>2.4763663938112752</v>
      </c>
      <c r="F19">
        <f t="shared" si="5"/>
        <v>2.9696737509189655</v>
      </c>
    </row>
    <row r="20" spans="1:6" x14ac:dyDescent="0.2">
      <c r="A20">
        <f t="shared" si="7"/>
        <v>1.4835298641951795</v>
      </c>
      <c r="B20">
        <f t="shared" si="0"/>
        <v>2.7385327717570238</v>
      </c>
      <c r="C20">
        <f t="shared" si="1"/>
        <v>2.9885840942752364</v>
      </c>
      <c r="D20">
        <f t="shared" si="6"/>
        <v>0.69463559521899065</v>
      </c>
      <c r="E20">
        <f t="shared" si="4"/>
        <v>2.7400312997157674</v>
      </c>
      <c r="F20">
        <f t="shared" si="5"/>
        <v>2.9714558413296466</v>
      </c>
    </row>
    <row r="21" spans="1:6" x14ac:dyDescent="0.2">
      <c r="A21">
        <f t="shared" si="7"/>
        <v>1.5707963267948959</v>
      </c>
      <c r="B21">
        <f t="shared" si="0"/>
        <v>2.9999999999999978</v>
      </c>
      <c r="C21">
        <f t="shared" si="1"/>
        <v>3</v>
      </c>
      <c r="D21">
        <f t="shared" si="6"/>
        <v>2.0096189432334124</v>
      </c>
      <c r="E21">
        <f t="shared" si="4"/>
        <v>2.9999999999999978</v>
      </c>
      <c r="F21">
        <f t="shared" si="5"/>
        <v>2.9502577388071436</v>
      </c>
    </row>
    <row r="22" spans="1:6" x14ac:dyDescent="0.2">
      <c r="A22">
        <f>A21</f>
        <v>1.5707963267948959</v>
      </c>
      <c r="B22">
        <f t="shared" si="0"/>
        <v>2.9999999999999978</v>
      </c>
      <c r="C22">
        <f t="shared" si="1"/>
        <v>3</v>
      </c>
      <c r="D22">
        <f t="shared" ref="D22:D40" si="8">(Ra-P*SIN($A$15))*SIN(A22)-P*COS($A$15)*COS(A22)-q*(B22-$B$22)*SIN(A22)</f>
        <v>2.0096189432334124</v>
      </c>
      <c r="E22">
        <f t="shared" si="4"/>
        <v>2.9999999999999978</v>
      </c>
      <c r="F22">
        <f t="shared" si="5"/>
        <v>2.9502577388071436</v>
      </c>
    </row>
    <row r="23" spans="1:6" x14ac:dyDescent="0.2">
      <c r="A23">
        <f>A21+PI()/36</f>
        <v>1.6580627893946123</v>
      </c>
      <c r="B23">
        <f t="shared" si="0"/>
        <v>3.2614672282429717</v>
      </c>
      <c r="C23">
        <f t="shared" si="1"/>
        <v>2.9885840942752369</v>
      </c>
      <c r="D23">
        <f t="shared" si="8"/>
        <v>-1.9001374523591661</v>
      </c>
      <c r="E23">
        <f t="shared" si="4"/>
        <v>3.2655663690261596</v>
      </c>
      <c r="F23">
        <f t="shared" si="5"/>
        <v>3.0354374878234549</v>
      </c>
    </row>
    <row r="24" spans="1:6" x14ac:dyDescent="0.2">
      <c r="A24">
        <f t="shared" ref="A24:A40" si="9">A23+PI()/36</f>
        <v>1.7453292519943286</v>
      </c>
      <c r="B24">
        <f t="shared" si="0"/>
        <v>3.5209445330007885</v>
      </c>
      <c r="C24">
        <f t="shared" si="1"/>
        <v>2.9544232590366248</v>
      </c>
      <c r="D24">
        <f t="shared" si="8"/>
        <v>-5.6767933188696382</v>
      </c>
      <c r="E24">
        <f t="shared" si="4"/>
        <v>3.5453442686115042</v>
      </c>
      <c r="F24">
        <f t="shared" si="5"/>
        <v>3.0928010360091567</v>
      </c>
    </row>
    <row r="25" spans="1:6" x14ac:dyDescent="0.2">
      <c r="A25">
        <f t="shared" si="9"/>
        <v>1.832595714594045</v>
      </c>
      <c r="B25">
        <f t="shared" si="0"/>
        <v>3.7764571353075596</v>
      </c>
      <c r="C25">
        <f t="shared" si="1"/>
        <v>2.8977774788672055</v>
      </c>
      <c r="D25">
        <f t="shared" si="8"/>
        <v>-9.1765714851932891</v>
      </c>
      <c r="E25">
        <f t="shared" si="4"/>
        <v>3.8352451089013102</v>
      </c>
      <c r="F25">
        <f t="shared" si="5"/>
        <v>3.1171771831931006</v>
      </c>
    </row>
    <row r="26" spans="1:6" x14ac:dyDescent="0.2">
      <c r="A26">
        <f t="shared" si="9"/>
        <v>1.9198621771937614</v>
      </c>
      <c r="B26">
        <f t="shared" si="0"/>
        <v>4.0260604299770026</v>
      </c>
      <c r="C26">
        <f t="shared" si="1"/>
        <v>2.8190778623577262</v>
      </c>
      <c r="D26">
        <f t="shared" si="8"/>
        <v>-12.264902049163123</v>
      </c>
      <c r="E26">
        <f t="shared" si="4"/>
        <v>4.1298915590398622</v>
      </c>
      <c r="F26">
        <f t="shared" si="5"/>
        <v>3.1043515448944126</v>
      </c>
    </row>
    <row r="27" spans="1:6" x14ac:dyDescent="0.2">
      <c r="A27">
        <f t="shared" si="9"/>
        <v>2.007128639793478</v>
      </c>
      <c r="B27">
        <f t="shared" si="0"/>
        <v>4.2678547852220952</v>
      </c>
      <c r="C27">
        <f t="shared" si="1"/>
        <v>2.718923361109951</v>
      </c>
      <c r="D27">
        <f t="shared" si="8"/>
        <v>-14.820726070230037</v>
      </c>
      <c r="E27">
        <f t="shared" si="4"/>
        <v>4.4228897116500505</v>
      </c>
      <c r="F27">
        <f t="shared" si="5"/>
        <v>3.0513968337553918</v>
      </c>
    </row>
    <row r="28" spans="1:6" x14ac:dyDescent="0.2">
      <c r="A28">
        <f t="shared" si="9"/>
        <v>2.0943951023931944</v>
      </c>
      <c r="B28">
        <f t="shared" si="0"/>
        <v>4.4999999999999973</v>
      </c>
      <c r="C28">
        <f t="shared" si="1"/>
        <v>2.5980762113533173</v>
      </c>
      <c r="D28">
        <f t="shared" si="8"/>
        <v>-16.740381056766594</v>
      </c>
      <c r="E28">
        <f t="shared" si="4"/>
        <v>4.7071796769724461</v>
      </c>
      <c r="F28">
        <f t="shared" si="5"/>
        <v>2.9569219381653076</v>
      </c>
    </row>
    <row r="29" spans="1:6" x14ac:dyDescent="0.2">
      <c r="A29">
        <f t="shared" si="9"/>
        <v>2.1816615649929108</v>
      </c>
      <c r="B29">
        <f t="shared" si="0"/>
        <v>4.7207293090531355</v>
      </c>
      <c r="C29">
        <f t="shared" si="1"/>
        <v>2.4574561328669775</v>
      </c>
      <c r="D29">
        <f t="shared" si="8"/>
        <v>-17.940948612720042</v>
      </c>
      <c r="E29">
        <f t="shared" si="4"/>
        <v>4.9754407844035278</v>
      </c>
      <c r="F29">
        <f t="shared" si="5"/>
        <v>2.8212218186829841</v>
      </c>
    </row>
    <row r="30" spans="1:6" x14ac:dyDescent="0.2">
      <c r="A30">
        <f t="shared" si="9"/>
        <v>2.2689280275926271</v>
      </c>
      <c r="B30">
        <f t="shared" si="0"/>
        <v>4.9283628290596155</v>
      </c>
      <c r="C30">
        <f t="shared" si="1"/>
        <v>2.2981333293569368</v>
      </c>
      <c r="D30">
        <f t="shared" si="8"/>
        <v>-18.362961020817593</v>
      </c>
      <c r="E30">
        <f t="shared" si="4"/>
        <v>5.2205236773655095</v>
      </c>
      <c r="F30">
        <f t="shared" si="5"/>
        <v>2.6463170699408591</v>
      </c>
    </row>
    <row r="31" spans="1:6" x14ac:dyDescent="0.2">
      <c r="A31">
        <f t="shared" si="9"/>
        <v>2.3561944901923435</v>
      </c>
      <c r="B31">
        <f t="shared" si="0"/>
        <v>5.1213203435596402</v>
      </c>
      <c r="C31">
        <f t="shared" si="1"/>
        <v>2.1213203435596455</v>
      </c>
      <c r="D31">
        <f t="shared" si="8"/>
        <v>-17.972383099840542</v>
      </c>
      <c r="E31">
        <f t="shared" si="4"/>
        <v>5.4358796056657672</v>
      </c>
      <c r="F31">
        <f t="shared" si="5"/>
        <v>2.4358796056657734</v>
      </c>
    </row>
    <row r="32" spans="1:6" x14ac:dyDescent="0.2">
      <c r="A32">
        <f t="shared" si="9"/>
        <v>2.4434609527920599</v>
      </c>
      <c r="B32">
        <f t="shared" si="0"/>
        <v>5.298133329356931</v>
      </c>
      <c r="C32">
        <f t="shared" si="1"/>
        <v>1.9283628290596213</v>
      </c>
      <c r="D32">
        <f t="shared" si="8"/>
        <v>-16.761807786679817</v>
      </c>
      <c r="E32">
        <f t="shared" si="4"/>
        <v>5.6159572863701026</v>
      </c>
      <c r="F32">
        <f t="shared" si="5"/>
        <v>2.1950487941686783</v>
      </c>
    </row>
    <row r="33" spans="1:6" x14ac:dyDescent="0.2">
      <c r="A33">
        <f t="shared" si="9"/>
        <v>2.5307274153917763</v>
      </c>
      <c r="B33">
        <f t="shared" si="0"/>
        <v>5.4574561328669731</v>
      </c>
      <c r="C33">
        <f t="shared" si="1"/>
        <v>1.7207293090531421</v>
      </c>
      <c r="D33">
        <f t="shared" si="8"/>
        <v>-14.75082788735906</v>
      </c>
      <c r="E33">
        <f t="shared" si="4"/>
        <v>5.7565398178285738</v>
      </c>
      <c r="F33">
        <f t="shared" si="5"/>
        <v>1.9301499598187939</v>
      </c>
    </row>
    <row r="34" spans="1:6" x14ac:dyDescent="0.2">
      <c r="A34">
        <f t="shared" si="9"/>
        <v>2.6179938779914926</v>
      </c>
      <c r="B34">
        <f t="shared" si="0"/>
        <v>5.5980762113533142</v>
      </c>
      <c r="C34">
        <f t="shared" si="1"/>
        <v>1.5000000000000044</v>
      </c>
      <c r="D34">
        <f t="shared" si="8"/>
        <v>-11.985571585149952</v>
      </c>
      <c r="E34">
        <f t="shared" si="4"/>
        <v>5.8549981495186216</v>
      </c>
      <c r="F34">
        <f t="shared" si="5"/>
        <v>1.6483339501604655</v>
      </c>
    </row>
    <row r="35" spans="1:6" x14ac:dyDescent="0.2">
      <c r="A35">
        <f t="shared" si="9"/>
        <v>2.705260340591209</v>
      </c>
      <c r="B35">
        <f t="shared" si="0"/>
        <v>5.7189233611099475</v>
      </c>
      <c r="C35">
        <f t="shared" si="1"/>
        <v>1.2678547852221034</v>
      </c>
      <c r="D35">
        <f t="shared" si="8"/>
        <v>-8.5374148234691969</v>
      </c>
      <c r="E35">
        <f t="shared" si="4"/>
        <v>5.9104432596846204</v>
      </c>
      <c r="F35">
        <f t="shared" si="5"/>
        <v>1.3571619806165423</v>
      </c>
    </row>
    <row r="36" spans="1:6" x14ac:dyDescent="0.2">
      <c r="A36">
        <f t="shared" si="9"/>
        <v>2.7925268031909254</v>
      </c>
      <c r="B36">
        <f t="shared" si="0"/>
        <v>5.8190778623577231</v>
      </c>
      <c r="C36">
        <f t="shared" si="1"/>
        <v>1.0260604299770115</v>
      </c>
      <c r="D36">
        <f t="shared" si="8"/>
        <v>-4.5009088198129845</v>
      </c>
      <c r="E36">
        <f t="shared" si="4"/>
        <v>5.9237660880478344</v>
      </c>
      <c r="F36">
        <f t="shared" si="5"/>
        <v>1.0641638280063548</v>
      </c>
    </row>
    <row r="37" spans="1:6" x14ac:dyDescent="0.2">
      <c r="A37">
        <f t="shared" si="9"/>
        <v>2.8797932657906418</v>
      </c>
      <c r="B37">
        <f t="shared" si="0"/>
        <v>5.8977774788672033</v>
      </c>
      <c r="C37">
        <f t="shared" si="1"/>
        <v>0.77645713530756821</v>
      </c>
      <c r="D37">
        <f t="shared" si="8"/>
        <v>9.0150502435175639E-3</v>
      </c>
      <c r="E37">
        <f t="shared" si="4"/>
        <v>5.8975619409224382</v>
      </c>
      <c r="F37">
        <f t="shared" si="5"/>
        <v>0.77639938208933013</v>
      </c>
    </row>
    <row r="38" spans="1:6" x14ac:dyDescent="0.2">
      <c r="A38">
        <f t="shared" si="9"/>
        <v>2.9670597283903581</v>
      </c>
      <c r="B38">
        <f t="shared" si="0"/>
        <v>5.9544232590366235</v>
      </c>
      <c r="C38">
        <f t="shared" si="1"/>
        <v>0.52094453300079735</v>
      </c>
      <c r="D38">
        <f t="shared" si="8"/>
        <v>4.8604786627103582</v>
      </c>
      <c r="E38">
        <f t="shared" si="4"/>
        <v>5.8359440059462173</v>
      </c>
      <c r="F38">
        <f t="shared" si="5"/>
        <v>0.50005344402677165</v>
      </c>
    </row>
    <row r="39" spans="1:6" x14ac:dyDescent="0.2">
      <c r="A39">
        <f t="shared" si="9"/>
        <v>3.0543261909900745</v>
      </c>
      <c r="B39">
        <f t="shared" si="0"/>
        <v>5.988584094275236</v>
      </c>
      <c r="C39">
        <f t="shared" si="1"/>
        <v>0.26146722824298119</v>
      </c>
      <c r="D39">
        <f t="shared" si="8"/>
        <v>9.9086249730054146</v>
      </c>
      <c r="E39">
        <f t="shared" si="4"/>
        <v>5.7442582404768601</v>
      </c>
      <c r="F39">
        <f t="shared" si="5"/>
        <v>0.2400914858293304</v>
      </c>
    </row>
    <row r="40" spans="1:6" x14ac:dyDescent="0.2">
      <c r="A40">
        <f t="shared" si="9"/>
        <v>3.1415926535897909</v>
      </c>
      <c r="B40">
        <f t="shared" si="0"/>
        <v>6</v>
      </c>
      <c r="C40">
        <f t="shared" si="1"/>
        <v>7.0288826842235252E-15</v>
      </c>
      <c r="D40">
        <f t="shared" si="8"/>
        <v>14.999999999999869</v>
      </c>
      <c r="E40">
        <f t="shared" si="4"/>
        <v>5.6287187078897993</v>
      </c>
      <c r="F40">
        <f t="shared" si="5"/>
        <v>6.1589851358603502E-15</v>
      </c>
    </row>
    <row r="42" spans="1:6" x14ac:dyDescent="0.2">
      <c r="B42">
        <f>MAX(B2:B40)</f>
        <v>6</v>
      </c>
      <c r="C42">
        <f>MAX(C2:C40)</f>
        <v>3</v>
      </c>
      <c r="D42">
        <f>MAX(MAX(D2:D40),-MIN(D2:D40))</f>
        <v>24.24038105676658</v>
      </c>
      <c r="E42">
        <f>MAX(E2:E40,B42)</f>
        <v>6</v>
      </c>
      <c r="F42">
        <f>MAX(F2:F40,C42)</f>
        <v>3.1171771831931006</v>
      </c>
    </row>
    <row r="43" spans="1:6" x14ac:dyDescent="0.2">
      <c r="B43">
        <f>MIN(B2:B40)</f>
        <v>0</v>
      </c>
      <c r="C43">
        <f>MIN(C2:C40)</f>
        <v>0</v>
      </c>
      <c r="D43">
        <f>0.2*_R/D42</f>
        <v>2.4752086140680248E-2</v>
      </c>
      <c r="E43">
        <f>MIN(E2:E40,B43)</f>
        <v>0</v>
      </c>
      <c r="F43">
        <f>MIN(F2:F40,C43)</f>
        <v>0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O43"/>
  <sheetViews>
    <sheetView workbookViewId="0">
      <selection activeCell="I1" sqref="I1:J4"/>
    </sheetView>
  </sheetViews>
  <sheetFormatPr defaultRowHeight="12.75" x14ac:dyDescent="0.2"/>
  <cols>
    <col min="7" max="7" width="10.5" bestFit="1" customWidth="1"/>
    <col min="15" max="15" width="11.6640625" bestFit="1" customWidth="1"/>
  </cols>
  <sheetData>
    <row r="1" spans="1:10" x14ac:dyDescent="0.2">
      <c r="A1" t="s">
        <v>6</v>
      </c>
      <c r="B1" t="s">
        <v>11</v>
      </c>
      <c r="C1" t="s">
        <v>12</v>
      </c>
      <c r="D1" t="s">
        <v>9</v>
      </c>
      <c r="E1" t="s">
        <v>31</v>
      </c>
      <c r="F1" t="s">
        <v>32</v>
      </c>
      <c r="I1" t="s">
        <v>33</v>
      </c>
    </row>
    <row r="2" spans="1:10" x14ac:dyDescent="0.2">
      <c r="A2">
        <v>0</v>
      </c>
      <c r="B2">
        <f t="shared" ref="B2:B40" si="0">_R*(1-COS(A2))</f>
        <v>0</v>
      </c>
      <c r="C2">
        <f t="shared" ref="C2:C40" si="1">_R*SIN(A2)</f>
        <v>0</v>
      </c>
      <c r="D2">
        <f t="shared" ref="D2:D14" si="2">-Ra*COS(A2)</f>
        <v>-27.99038105676658</v>
      </c>
      <c r="E2">
        <f>B2+$D$43*D2*COS(A2)</f>
        <v>-0.28537542296924812</v>
      </c>
      <c r="F2">
        <f>C2-$D$43*D2*SIN(A2)</f>
        <v>0</v>
      </c>
      <c r="I2">
        <f>CEILING(E42+0.1*(E42-E43),0.1)</f>
        <v>7.3000000000000007</v>
      </c>
      <c r="J2">
        <f>CEILING(F42+0.1*(F42-F43),0.1)</f>
        <v>3.5</v>
      </c>
    </row>
    <row r="3" spans="1:10" x14ac:dyDescent="0.2">
      <c r="A3">
        <f t="shared" ref="A3:A14" si="3">A2+PI()/36</f>
        <v>8.7266462599716474E-2</v>
      </c>
      <c r="B3">
        <f t="shared" si="0"/>
        <v>1.1415905724763364E-2</v>
      </c>
      <c r="C3">
        <f t="shared" si="1"/>
        <v>0.26146722824297453</v>
      </c>
      <c r="D3">
        <f t="shared" si="2"/>
        <v>-27.883869206318497</v>
      </c>
      <c r="E3">
        <f t="shared" ref="E3:E40" si="4">B3+$D$43*D3*COS(A3)</f>
        <v>-0.27179177028948753</v>
      </c>
      <c r="F3">
        <f t="shared" ref="F3:F40" si="5">C3-$D$43*D3*SIN(A3)</f>
        <v>0.28624468931774422</v>
      </c>
      <c r="I3">
        <f>CEILING(E43-0.1*(E42-E43),-1)</f>
        <v>-1</v>
      </c>
      <c r="J3">
        <f>CEILING(F43-0.1*(F42-F43),-1)</f>
        <v>-1</v>
      </c>
    </row>
    <row r="4" spans="1:10" x14ac:dyDescent="0.2">
      <c r="A4">
        <f t="shared" si="3"/>
        <v>0.17453292519943295</v>
      </c>
      <c r="B4">
        <f t="shared" si="0"/>
        <v>4.5576740963375939E-2</v>
      </c>
      <c r="C4">
        <f t="shared" si="1"/>
        <v>0.52094453300079102</v>
      </c>
      <c r="D4">
        <f t="shared" si="2"/>
        <v>-27.56514427446977</v>
      </c>
      <c r="E4">
        <f t="shared" si="4"/>
        <v>-0.23119356008017805</v>
      </c>
      <c r="F4">
        <f t="shared" si="5"/>
        <v>0.56974660453357384</v>
      </c>
      <c r="I4">
        <v>1</v>
      </c>
      <c r="J4">
        <v>1</v>
      </c>
    </row>
    <row r="5" spans="1:10" x14ac:dyDescent="0.2">
      <c r="A5">
        <f t="shared" si="3"/>
        <v>0.26179938779914941</v>
      </c>
      <c r="B5">
        <f t="shared" si="0"/>
        <v>0.10222252113279506</v>
      </c>
      <c r="C5">
        <f t="shared" si="1"/>
        <v>0.77645713530756222</v>
      </c>
      <c r="D5">
        <f t="shared" si="2"/>
        <v>-27.036631950403144</v>
      </c>
      <c r="E5">
        <f t="shared" si="4"/>
        <v>-0.16403637330537807</v>
      </c>
      <c r="F5">
        <f t="shared" si="5"/>
        <v>0.84780099104987428</v>
      </c>
    </row>
    <row r="6" spans="1:10" x14ac:dyDescent="0.2">
      <c r="A6">
        <f t="shared" si="3"/>
        <v>0.3490658503988659</v>
      </c>
      <c r="B6">
        <f t="shared" si="0"/>
        <v>0.18092213764227472</v>
      </c>
      <c r="C6">
        <f t="shared" si="1"/>
        <v>1.0260604299770062</v>
      </c>
      <c r="D6">
        <f t="shared" si="2"/>
        <v>-26.302354532029234</v>
      </c>
      <c r="E6">
        <f t="shared" si="4"/>
        <v>-7.1070702326509638E-2</v>
      </c>
      <c r="F6">
        <f t="shared" si="5"/>
        <v>1.1177783229738503</v>
      </c>
    </row>
    <row r="7" spans="1:10" x14ac:dyDescent="0.2">
      <c r="A7">
        <f t="shared" si="3"/>
        <v>0.43633231299858238</v>
      </c>
      <c r="B7">
        <f t="shared" si="0"/>
        <v>0.28107663889005019</v>
      </c>
      <c r="C7">
        <f t="shared" si="1"/>
        <v>1.2678547852220983</v>
      </c>
      <c r="D7">
        <f t="shared" si="2"/>
        <v>-25.367900313870685</v>
      </c>
      <c r="E7">
        <f t="shared" si="4"/>
        <v>4.6671034408582085E-2</v>
      </c>
      <c r="F7">
        <f t="shared" si="5"/>
        <v>1.3771599137062585</v>
      </c>
    </row>
    <row r="8" spans="1:10" x14ac:dyDescent="0.2">
      <c r="A8">
        <f t="shared" si="3"/>
        <v>0.52359877559829882</v>
      </c>
      <c r="B8">
        <f t="shared" si="0"/>
        <v>0.40192378864668388</v>
      </c>
      <c r="C8">
        <f t="shared" si="1"/>
        <v>1.4999999999999998</v>
      </c>
      <c r="D8">
        <f t="shared" si="2"/>
        <v>-24.24038105676658</v>
      </c>
      <c r="E8">
        <f t="shared" si="4"/>
        <v>0.18789222141974776</v>
      </c>
      <c r="F8">
        <f t="shared" si="5"/>
        <v>1.6235711829535489</v>
      </c>
    </row>
    <row r="9" spans="1:10" x14ac:dyDescent="0.2">
      <c r="A9">
        <f t="shared" si="3"/>
        <v>0.6108652381980153</v>
      </c>
      <c r="B9">
        <f t="shared" si="0"/>
        <v>0.5425438671330246</v>
      </c>
      <c r="C9">
        <f t="shared" si="1"/>
        <v>1.7207293090531381</v>
      </c>
      <c r="D9">
        <f t="shared" si="2"/>
        <v>-22.928377863078214</v>
      </c>
      <c r="E9">
        <f t="shared" si="4"/>
        <v>0.35105408411561778</v>
      </c>
      <c r="F9">
        <f t="shared" si="5"/>
        <v>1.8548118986120681</v>
      </c>
    </row>
    <row r="10" spans="1:10" x14ac:dyDescent="0.2">
      <c r="A10">
        <f t="shared" si="3"/>
        <v>0.69813170079773179</v>
      </c>
      <c r="B10">
        <f t="shared" si="0"/>
        <v>0.70186667064306596</v>
      </c>
      <c r="C10">
        <f t="shared" si="1"/>
        <v>1.9283628290596178</v>
      </c>
      <c r="D10">
        <f t="shared" si="2"/>
        <v>-21.441875869318746</v>
      </c>
      <c r="E10">
        <f t="shared" si="4"/>
        <v>0.53440149808367221</v>
      </c>
      <c r="F10">
        <f t="shared" si="5"/>
        <v>2.0688827935892444</v>
      </c>
    </row>
    <row r="11" spans="1:10" x14ac:dyDescent="0.2">
      <c r="A11">
        <f t="shared" si="3"/>
        <v>0.78539816339744828</v>
      </c>
      <c r="B11">
        <f t="shared" si="0"/>
        <v>0.87867965644035728</v>
      </c>
      <c r="C11">
        <f t="shared" si="1"/>
        <v>2.1213203435596424</v>
      </c>
      <c r="D11">
        <f t="shared" si="2"/>
        <v>-19.792188253235132</v>
      </c>
      <c r="E11">
        <f t="shared" si="4"/>
        <v>0.73599194495573317</v>
      </c>
      <c r="F11">
        <f t="shared" si="5"/>
        <v>2.2640080550442665</v>
      </c>
    </row>
    <row r="12" spans="1:10" x14ac:dyDescent="0.2">
      <c r="A12">
        <f t="shared" si="3"/>
        <v>0.87266462599716477</v>
      </c>
      <c r="B12">
        <f t="shared" si="0"/>
        <v>1.0716371709403818</v>
      </c>
      <c r="C12">
        <f t="shared" si="1"/>
        <v>2.2981333293569342</v>
      </c>
      <c r="D12">
        <f t="shared" si="2"/>
        <v>-17.99187013369438</v>
      </c>
      <c r="E12">
        <f t="shared" si="4"/>
        <v>0.95372692053052743</v>
      </c>
      <c r="F12">
        <f t="shared" si="5"/>
        <v>2.4386532938865608</v>
      </c>
    </row>
    <row r="13" spans="1:10" x14ac:dyDescent="0.2">
      <c r="A13">
        <f t="shared" si="3"/>
        <v>0.95993108859688125</v>
      </c>
      <c r="B13">
        <f t="shared" si="0"/>
        <v>1.2792706909468614</v>
      </c>
      <c r="C13">
        <f t="shared" si="1"/>
        <v>2.4574561328669753</v>
      </c>
      <c r="D13">
        <f t="shared" si="2"/>
        <v>-16.054623018648005</v>
      </c>
      <c r="E13">
        <f t="shared" si="4"/>
        <v>1.1853850509950201</v>
      </c>
      <c r="F13">
        <f t="shared" si="5"/>
        <v>2.5915387224259052</v>
      </c>
    </row>
    <row r="14" spans="1:10" x14ac:dyDescent="0.2">
      <c r="A14">
        <f t="shared" si="3"/>
        <v>1.0471975511965976</v>
      </c>
      <c r="B14">
        <f t="shared" si="0"/>
        <v>1.4999999999999996</v>
      </c>
      <c r="C14">
        <f t="shared" si="1"/>
        <v>2.598076211353316</v>
      </c>
      <c r="D14">
        <f t="shared" si="2"/>
        <v>-13.995190528383294</v>
      </c>
      <c r="E14">
        <f t="shared" si="4"/>
        <v>1.4286561442576875</v>
      </c>
      <c r="F14">
        <f t="shared" si="5"/>
        <v>2.7216473943068653</v>
      </c>
    </row>
    <row r="15" spans="1:10" x14ac:dyDescent="0.2">
      <c r="A15">
        <f>A14</f>
        <v>1.0471975511965976</v>
      </c>
      <c r="B15">
        <f t="shared" si="0"/>
        <v>1.4999999999999996</v>
      </c>
      <c r="C15">
        <f t="shared" si="1"/>
        <v>2.598076211353316</v>
      </c>
      <c r="D15">
        <f t="shared" ref="D15:D21" si="6">-(Ra-P*SIN($A$15))*COS(A15)-P*COS($A$15)*SIN(A15)</f>
        <v>-13.995190528383294</v>
      </c>
      <c r="E15">
        <f t="shared" si="4"/>
        <v>1.4286561442576875</v>
      </c>
      <c r="F15">
        <f t="shared" si="5"/>
        <v>2.7216473943068653</v>
      </c>
    </row>
    <row r="16" spans="1:10" x14ac:dyDescent="0.2">
      <c r="A16">
        <f t="shared" ref="A16:A21" si="7">A15+PI()/36</f>
        <v>1.134464013796314</v>
      </c>
      <c r="B16">
        <f t="shared" si="0"/>
        <v>1.7321452147779013</v>
      </c>
      <c r="C16">
        <f t="shared" si="1"/>
        <v>2.7189233611099493</v>
      </c>
      <c r="D16">
        <f t="shared" si="6"/>
        <v>-14.443918470100241</v>
      </c>
      <c r="E16">
        <f t="shared" si="4"/>
        <v>1.6699093046452134</v>
      </c>
      <c r="F16">
        <f t="shared" si="5"/>
        <v>2.8523887010937097</v>
      </c>
    </row>
    <row r="17" spans="1:15" x14ac:dyDescent="0.2">
      <c r="A17">
        <f t="shared" si="7"/>
        <v>1.2217304763960304</v>
      </c>
      <c r="B17">
        <f t="shared" si="0"/>
        <v>1.9739395700229927</v>
      </c>
      <c r="C17">
        <f t="shared" si="1"/>
        <v>2.8190778623577248</v>
      </c>
      <c r="D17">
        <f t="shared" si="6"/>
        <v>-14.782719470783302</v>
      </c>
      <c r="E17">
        <f t="shared" si="4"/>
        <v>1.9223913376785227</v>
      </c>
      <c r="F17">
        <f t="shared" si="5"/>
        <v>2.9607054667369566</v>
      </c>
    </row>
    <row r="18" spans="1:15" x14ac:dyDescent="0.2">
      <c r="A18">
        <f t="shared" si="7"/>
        <v>1.3089969389957468</v>
      </c>
      <c r="B18">
        <f t="shared" si="0"/>
        <v>2.2235428646924364</v>
      </c>
      <c r="C18">
        <f t="shared" si="1"/>
        <v>2.8977774788672046</v>
      </c>
      <c r="D18">
        <f t="shared" si="6"/>
        <v>-15.00901505024364</v>
      </c>
      <c r="E18">
        <f t="shared" si="4"/>
        <v>2.1839373026334092</v>
      </c>
      <c r="F18">
        <f t="shared" si="5"/>
        <v>3.0455874487338166</v>
      </c>
    </row>
    <row r="19" spans="1:15" x14ac:dyDescent="0.2">
      <c r="A19">
        <f t="shared" si="7"/>
        <v>1.3962634015954631</v>
      </c>
      <c r="B19">
        <f t="shared" si="0"/>
        <v>2.4790554669992075</v>
      </c>
      <c r="C19">
        <f t="shared" si="1"/>
        <v>2.9544232590366239</v>
      </c>
      <c r="D19">
        <f t="shared" si="6"/>
        <v>-15.121082962480552</v>
      </c>
      <c r="E19">
        <f t="shared" si="4"/>
        <v>2.452284695729507</v>
      </c>
      <c r="F19">
        <f t="shared" si="5"/>
        <v>3.1062478474356192</v>
      </c>
    </row>
    <row r="20" spans="1:15" x14ac:dyDescent="0.2">
      <c r="A20">
        <f t="shared" si="7"/>
        <v>1.4835298641951795</v>
      </c>
      <c r="B20">
        <f t="shared" si="0"/>
        <v>2.7385327717570238</v>
      </c>
      <c r="C20">
        <f t="shared" si="1"/>
        <v>2.9885840942752364</v>
      </c>
      <c r="D20">
        <f t="shared" si="6"/>
        <v>-15.118070303013459</v>
      </c>
      <c r="E20">
        <f t="shared" si="4"/>
        <v>2.7250989331571187</v>
      </c>
      <c r="F20">
        <f t="shared" si="5"/>
        <v>3.1421335720990062</v>
      </c>
      <c r="O20">
        <v>-0.28000000000000003</v>
      </c>
    </row>
    <row r="21" spans="1:15" x14ac:dyDescent="0.2">
      <c r="A21">
        <f t="shared" si="7"/>
        <v>1.5707963267948959</v>
      </c>
      <c r="B21">
        <f t="shared" si="0"/>
        <v>2.9999999999999978</v>
      </c>
      <c r="C21">
        <f t="shared" si="1"/>
        <v>3</v>
      </c>
      <c r="D21">
        <f t="shared" si="6"/>
        <v>-15.000000000000005</v>
      </c>
      <c r="E21">
        <f t="shared" si="4"/>
        <v>2.9999999999999978</v>
      </c>
      <c r="F21">
        <f t="shared" si="5"/>
        <v>3.1529322282486003</v>
      </c>
      <c r="O21">
        <f>ROUNDDOWN(O20,0)</f>
        <v>0</v>
      </c>
    </row>
    <row r="22" spans="1:15" x14ac:dyDescent="0.2">
      <c r="A22">
        <f>A21</f>
        <v>1.5707963267948959</v>
      </c>
      <c r="B22">
        <f t="shared" si="0"/>
        <v>2.9999999999999978</v>
      </c>
      <c r="C22">
        <f t="shared" si="1"/>
        <v>3</v>
      </c>
      <c r="D22">
        <f t="shared" ref="D22:D40" si="8">-(Ra-P*SIN($A$15))*COS(A22)-P*COS($A$15)*SIN(A22)+q*(B22-$B$22)*COS(A22)</f>
        <v>-15.000000000000005</v>
      </c>
      <c r="E22">
        <f t="shared" si="4"/>
        <v>2.9999999999999978</v>
      </c>
      <c r="F22">
        <f t="shared" si="5"/>
        <v>3.1529322282486003</v>
      </c>
    </row>
    <row r="23" spans="1:15" x14ac:dyDescent="0.2">
      <c r="A23">
        <f>A21+PI()/36</f>
        <v>1.6580627893946123</v>
      </c>
      <c r="B23">
        <f t="shared" si="0"/>
        <v>3.2614672282429717</v>
      </c>
      <c r="C23">
        <f t="shared" si="1"/>
        <v>2.9885840942752369</v>
      </c>
      <c r="D23">
        <f t="shared" si="8"/>
        <v>-15.223538049372669</v>
      </c>
      <c r="E23">
        <f t="shared" si="4"/>
        <v>3.2749947849334591</v>
      </c>
      <c r="F23">
        <f t="shared" si="5"/>
        <v>3.1432047747760761</v>
      </c>
    </row>
    <row r="24" spans="1:15" x14ac:dyDescent="0.2">
      <c r="A24">
        <f t="shared" ref="A24:A40" si="9">A23+PI()/36</f>
        <v>1.7453292519943286</v>
      </c>
      <c r="B24">
        <f t="shared" si="0"/>
        <v>3.5209445330007885</v>
      </c>
      <c r="C24">
        <f t="shared" si="1"/>
        <v>2.9544232590366248</v>
      </c>
      <c r="D24">
        <f t="shared" si="8"/>
        <v>-16.23237100430844</v>
      </c>
      <c r="E24">
        <f t="shared" si="4"/>
        <v>3.5496827584572253</v>
      </c>
      <c r="F24">
        <f t="shared" si="5"/>
        <v>3.1174058345957918</v>
      </c>
    </row>
    <row r="25" spans="1:15" x14ac:dyDescent="0.2">
      <c r="A25">
        <f t="shared" si="9"/>
        <v>1.832595714594045</v>
      </c>
      <c r="B25">
        <f t="shared" si="0"/>
        <v>3.7764571353075596</v>
      </c>
      <c r="C25">
        <f t="shared" si="1"/>
        <v>2.8977774788672055</v>
      </c>
      <c r="D25">
        <f t="shared" si="8"/>
        <v>-17.987997624895243</v>
      </c>
      <c r="E25">
        <f t="shared" si="4"/>
        <v>3.8239235915583882</v>
      </c>
      <c r="F25">
        <f t="shared" si="5"/>
        <v>3.0749247052505448</v>
      </c>
    </row>
    <row r="26" spans="1:15" x14ac:dyDescent="0.2">
      <c r="A26">
        <f t="shared" si="9"/>
        <v>1.9198621771937614</v>
      </c>
      <c r="B26">
        <f t="shared" si="0"/>
        <v>4.0260604299770026</v>
      </c>
      <c r="C26">
        <f t="shared" si="1"/>
        <v>2.8190778623577262</v>
      </c>
      <c r="D26">
        <f t="shared" si="8"/>
        <v>-20.426725859224589</v>
      </c>
      <c r="E26">
        <f t="shared" si="4"/>
        <v>4.097289652225939</v>
      </c>
      <c r="F26">
        <f t="shared" si="5"/>
        <v>3.0147785420919937</v>
      </c>
    </row>
    <row r="27" spans="1:15" x14ac:dyDescent="0.2">
      <c r="A27">
        <f t="shared" si="9"/>
        <v>2.007128639793478</v>
      </c>
      <c r="B27">
        <f t="shared" si="0"/>
        <v>4.2678547852220952</v>
      </c>
      <c r="C27">
        <f t="shared" si="1"/>
        <v>2.718923361109951</v>
      </c>
      <c r="D27">
        <f t="shared" si="8"/>
        <v>-23.461686850403058</v>
      </c>
      <c r="E27">
        <f t="shared" si="4"/>
        <v>4.3689464271754588</v>
      </c>
      <c r="F27">
        <f t="shared" si="5"/>
        <v>2.9357150868846142</v>
      </c>
    </row>
    <row r="28" spans="1:15" x14ac:dyDescent="0.2">
      <c r="A28">
        <f t="shared" si="9"/>
        <v>2.0943951023931944</v>
      </c>
      <c r="B28">
        <f t="shared" si="0"/>
        <v>4.4999999999999973</v>
      </c>
      <c r="C28">
        <f t="shared" si="1"/>
        <v>2.5980762113533173</v>
      </c>
      <c r="D28">
        <f t="shared" si="8"/>
        <v>-26.985571585149849</v>
      </c>
      <c r="E28">
        <f t="shared" si="4"/>
        <v>4.6375654531026331</v>
      </c>
      <c r="F28">
        <f t="shared" si="5"/>
        <v>2.8363465654933164</v>
      </c>
    </row>
    <row r="29" spans="1:15" x14ac:dyDescent="0.2">
      <c r="A29">
        <f t="shared" si="9"/>
        <v>2.1816615649929108</v>
      </c>
      <c r="B29">
        <f t="shared" si="0"/>
        <v>4.7207293090531355</v>
      </c>
      <c r="C29">
        <f t="shared" si="1"/>
        <v>2.4574561328669775</v>
      </c>
      <c r="D29">
        <f t="shared" si="8"/>
        <v>-30.874006292681408</v>
      </c>
      <c r="E29">
        <f t="shared" si="4"/>
        <v>4.9012770450727672</v>
      </c>
      <c r="F29">
        <f t="shared" si="5"/>
        <v>2.7153050221852166</v>
      </c>
    </row>
    <row r="30" spans="1:15" x14ac:dyDescent="0.2">
      <c r="A30">
        <f t="shared" si="9"/>
        <v>2.2689280275926271</v>
      </c>
      <c r="B30">
        <f t="shared" si="0"/>
        <v>4.9283628290596155</v>
      </c>
      <c r="C30">
        <f t="shared" si="1"/>
        <v>2.2981333293569368</v>
      </c>
      <c r="D30">
        <f t="shared" si="8"/>
        <v>-34.98946315987493</v>
      </c>
      <c r="E30">
        <f t="shared" si="4"/>
        <v>5.1576673055943223</v>
      </c>
      <c r="F30">
        <f t="shared" si="5"/>
        <v>2.5714077630651095</v>
      </c>
    </row>
    <row r="31" spans="1:15" x14ac:dyDescent="0.2">
      <c r="A31">
        <f t="shared" si="9"/>
        <v>2.3561944901923435</v>
      </c>
      <c r="B31">
        <f t="shared" si="0"/>
        <v>5.1213203435596402</v>
      </c>
      <c r="C31">
        <f t="shared" si="1"/>
        <v>2.1213203435596455</v>
      </c>
      <c r="D31">
        <f t="shared" si="8"/>
        <v>-39.185586535436883</v>
      </c>
      <c r="E31">
        <f t="shared" si="4"/>
        <v>5.4038207722330718</v>
      </c>
      <c r="F31">
        <f t="shared" si="5"/>
        <v>2.403820772233078</v>
      </c>
    </row>
    <row r="32" spans="1:15" x14ac:dyDescent="0.2">
      <c r="A32">
        <f t="shared" si="9"/>
        <v>2.4434609527920599</v>
      </c>
      <c r="B32">
        <f t="shared" si="0"/>
        <v>5.298133329356931</v>
      </c>
      <c r="C32">
        <f t="shared" si="1"/>
        <v>1.9283628290596213</v>
      </c>
      <c r="D32">
        <f t="shared" si="8"/>
        <v>-43.311802051055366</v>
      </c>
      <c r="E32">
        <f t="shared" si="4"/>
        <v>5.636406829704768</v>
      </c>
      <c r="F32">
        <f t="shared" si="5"/>
        <v>2.2122079984385401</v>
      </c>
    </row>
    <row r="33" spans="1:6" x14ac:dyDescent="0.2">
      <c r="A33">
        <f t="shared" si="9"/>
        <v>2.5307274153917763</v>
      </c>
      <c r="B33">
        <f t="shared" si="0"/>
        <v>5.4574561328669731</v>
      </c>
      <c r="C33">
        <f t="shared" si="1"/>
        <v>1.7207293090531421</v>
      </c>
      <c r="D33">
        <f t="shared" si="8"/>
        <v>-47.218067379444186</v>
      </c>
      <c r="E33">
        <f t="shared" si="4"/>
        <v>5.851804897135688</v>
      </c>
      <c r="F33">
        <f t="shared" si="5"/>
        <v>1.9968552864777811</v>
      </c>
    </row>
    <row r="34" spans="1:6" x14ac:dyDescent="0.2">
      <c r="A34">
        <f t="shared" si="9"/>
        <v>2.6179938779914926</v>
      </c>
      <c r="B34">
        <f t="shared" si="0"/>
        <v>5.5980762113533142</v>
      </c>
      <c r="C34">
        <f t="shared" si="1"/>
        <v>1.5000000000000044</v>
      </c>
      <c r="D34">
        <f t="shared" si="8"/>
        <v>-50.759618943233406</v>
      </c>
      <c r="E34">
        <f t="shared" si="4"/>
        <v>6.046260617729617</v>
      </c>
      <c r="F34">
        <f t="shared" si="5"/>
        <v>1.7587593876679566</v>
      </c>
    </row>
    <row r="35" spans="1:6" x14ac:dyDescent="0.2">
      <c r="A35">
        <f t="shared" si="9"/>
        <v>2.705260340591209</v>
      </c>
      <c r="B35">
        <f t="shared" si="0"/>
        <v>5.7189233611099475</v>
      </c>
      <c r="C35">
        <f t="shared" si="1"/>
        <v>1.2678547852221034</v>
      </c>
      <c r="D35">
        <f t="shared" si="8"/>
        <v>-53.801568919477837</v>
      </c>
      <c r="E35">
        <f t="shared" si="4"/>
        <v>6.2160630190471036</v>
      </c>
      <c r="F35">
        <f t="shared" si="5"/>
        <v>1.499674814890757</v>
      </c>
    </row>
    <row r="36" spans="1:6" x14ac:dyDescent="0.2">
      <c r="A36">
        <f t="shared" si="9"/>
        <v>2.7925268031909254</v>
      </c>
      <c r="B36">
        <f t="shared" si="0"/>
        <v>5.8190778623577231</v>
      </c>
      <c r="C36">
        <f t="shared" si="1"/>
        <v>1.0260604299770115</v>
      </c>
      <c r="D36">
        <f t="shared" si="8"/>
        <v>-56.223211351906343</v>
      </c>
      <c r="E36">
        <f t="shared" si="4"/>
        <v>6.3577310343952078</v>
      </c>
      <c r="F36">
        <f t="shared" si="5"/>
        <v>1.2221141511917291</v>
      </c>
    </row>
    <row r="37" spans="1:6" x14ac:dyDescent="0.2">
      <c r="A37">
        <f t="shared" si="9"/>
        <v>2.8797932657906418</v>
      </c>
      <c r="B37">
        <f t="shared" si="0"/>
        <v>5.8977774788672033</v>
      </c>
      <c r="C37">
        <f t="shared" si="1"/>
        <v>0.77645713530756821</v>
      </c>
      <c r="D37">
        <f t="shared" si="8"/>
        <v>-57.921904951802077</v>
      </c>
      <c r="E37">
        <f t="shared" si="4"/>
        <v>6.4681969898666045</v>
      </c>
      <c r="F37">
        <f t="shared" si="5"/>
        <v>0.92930058262681503</v>
      </c>
    </row>
    <row r="38" spans="1:6" x14ac:dyDescent="0.2">
      <c r="A38">
        <f t="shared" si="9"/>
        <v>2.9670597283903581</v>
      </c>
      <c r="B38">
        <f t="shared" si="0"/>
        <v>5.9544232590366235</v>
      </c>
      <c r="C38">
        <f t="shared" si="1"/>
        <v>0.52094453300079735</v>
      </c>
      <c r="D38">
        <f t="shared" si="8"/>
        <v>-58.816412972684773</v>
      </c>
      <c r="E38">
        <f t="shared" si="4"/>
        <v>6.5449747236929818</v>
      </c>
      <c r="F38">
        <f t="shared" si="5"/>
        <v>0.62507468971661606</v>
      </c>
    </row>
    <row r="39" spans="1:6" x14ac:dyDescent="0.2">
      <c r="A39">
        <f t="shared" si="9"/>
        <v>3.0543261909900745</v>
      </c>
      <c r="B39">
        <f t="shared" si="0"/>
        <v>5.988584094275236</v>
      </c>
      <c r="C39">
        <f t="shared" si="1"/>
        <v>0.26146722824298119</v>
      </c>
      <c r="D39">
        <f t="shared" si="8"/>
        <v>-58.849596995147287</v>
      </c>
      <c r="E39">
        <f t="shared" si="4"/>
        <v>6.586300913130283</v>
      </c>
      <c r="F39">
        <f t="shared" si="5"/>
        <v>0.31376067389157741</v>
      </c>
    </row>
    <row r="40" spans="1:6" x14ac:dyDescent="0.2">
      <c r="A40">
        <f t="shared" si="9"/>
        <v>3.1415926535897909</v>
      </c>
      <c r="B40">
        <f t="shared" si="0"/>
        <v>6</v>
      </c>
      <c r="C40">
        <f t="shared" si="1"/>
        <v>7.0288826842235252E-15</v>
      </c>
      <c r="D40">
        <f t="shared" si="8"/>
        <v>-57.990381056766651</v>
      </c>
      <c r="E40">
        <f t="shared" si="4"/>
        <v>6.5912398794664497</v>
      </c>
      <c r="F40">
        <f t="shared" si="5"/>
        <v>8.4141346012249015E-15</v>
      </c>
    </row>
    <row r="42" spans="1:6" x14ac:dyDescent="0.2">
      <c r="B42">
        <f>MAX(B2:B40)</f>
        <v>6</v>
      </c>
      <c r="C42">
        <f>MAX(C2:C40)</f>
        <v>3</v>
      </c>
      <c r="D42">
        <f>MAX(MAX(D2:D40),-MIN(D2:D40))</f>
        <v>58.849596995147287</v>
      </c>
      <c r="E42">
        <f>MAX(E2:E40,B42)</f>
        <v>6.5912398794664497</v>
      </c>
      <c r="F42">
        <f>MAX(F2:F40,C42)</f>
        <v>3.1529322282486003</v>
      </c>
    </row>
    <row r="43" spans="1:6" x14ac:dyDescent="0.2">
      <c r="B43">
        <f>MIN(B2:B40)</f>
        <v>0</v>
      </c>
      <c r="C43">
        <f>MIN(C2:C40)</f>
        <v>0</v>
      </c>
      <c r="D43">
        <f>0.2*_R/D42</f>
        <v>1.0195481883240013E-2</v>
      </c>
      <c r="E43">
        <f>MIN(E2:E40,B43)</f>
        <v>-0.28537542296924812</v>
      </c>
      <c r="F43">
        <f>MIN(F2:F40,C43)</f>
        <v>0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30"/>
  <sheetViews>
    <sheetView tabSelected="1" workbookViewId="0">
      <selection activeCell="C4" sqref="C4"/>
    </sheetView>
  </sheetViews>
  <sheetFormatPr defaultRowHeight="12.75" x14ac:dyDescent="0.2"/>
  <cols>
    <col min="1" max="1" width="5.1640625" customWidth="1"/>
    <col min="8" max="8" width="9.5" customWidth="1"/>
  </cols>
  <sheetData>
    <row r="1" spans="1:8" ht="30.75" x14ac:dyDescent="0.45">
      <c r="A1" s="8" t="s">
        <v>22</v>
      </c>
    </row>
    <row r="3" spans="1:8" x14ac:dyDescent="0.2">
      <c r="A3" s="9" t="s">
        <v>13</v>
      </c>
      <c r="B3" s="9" t="s">
        <v>14</v>
      </c>
      <c r="C3" s="9" t="s">
        <v>1</v>
      </c>
      <c r="D3" s="9" t="s">
        <v>2</v>
      </c>
    </row>
    <row r="4" spans="1:8" x14ac:dyDescent="0.2">
      <c r="A4" s="1">
        <v>6</v>
      </c>
      <c r="B4" s="1">
        <v>4</v>
      </c>
      <c r="C4" s="1">
        <v>10</v>
      </c>
      <c r="D4" s="1">
        <v>10</v>
      </c>
    </row>
    <row r="6" spans="1:8" x14ac:dyDescent="0.2">
      <c r="A6" t="s">
        <v>17</v>
      </c>
      <c r="B6" t="s">
        <v>18</v>
      </c>
    </row>
    <row r="7" spans="1:8" x14ac:dyDescent="0.2">
      <c r="A7">
        <f>0.75*dlu</f>
        <v>4.5</v>
      </c>
      <c r="B7">
        <f>-4*f/dlu^2*((0.75*dlu)^2-0.75*dlu^2)</f>
        <v>3</v>
      </c>
    </row>
    <row r="10" spans="1:8" x14ac:dyDescent="0.2">
      <c r="A10" t="s">
        <v>23</v>
      </c>
    </row>
    <row r="12" spans="1:8" x14ac:dyDescent="0.2">
      <c r="A12" t="s">
        <v>15</v>
      </c>
      <c r="B12" t="s">
        <v>16</v>
      </c>
      <c r="C12" t="s">
        <v>4</v>
      </c>
      <c r="D12" t="s">
        <v>5</v>
      </c>
      <c r="E12" t="s">
        <v>26</v>
      </c>
      <c r="F12" t="s">
        <v>34</v>
      </c>
    </row>
    <row r="13" spans="1:8" x14ac:dyDescent="0.2">
      <c r="A13" s="3">
        <f>(q_par*0.5*dlu*0.75*dlu+q_par/2*0.5*dlu*2/3*dlu+P_par*(dlu-x_P)+P_par*y_P)/dlu</f>
        <v>40</v>
      </c>
      <c r="B13" s="3">
        <f>(0.5*dlu*Va-q_par*0.5*0.25*dlu^2-0.125*q_par*dlu^2/3)/f</f>
        <v>15</v>
      </c>
      <c r="C13" s="3">
        <f>(q_par*0.5*dlu*0.25*dlu+q_par/2*0.5*dlu*2/3*0.5*dlu+P_par*x_P-P_par*y_P)/dlu</f>
        <v>15</v>
      </c>
      <c r="D13" s="3">
        <f>Ha-P_par</f>
        <v>5</v>
      </c>
      <c r="E13" s="2">
        <f>A13+C13-3*q_par/2*dlu/2-P_par</f>
        <v>0</v>
      </c>
      <c r="F13">
        <f>-Vbp*0.5*dlu+Hbp*f+P_par*0.25*dlu+P_par*(f-y_P)</f>
        <v>0</v>
      </c>
    </row>
    <row r="15" spans="1:8" x14ac:dyDescent="0.2">
      <c r="A15" t="s">
        <v>24</v>
      </c>
    </row>
    <row r="16" spans="1:8" x14ac:dyDescent="0.2">
      <c r="A16" t="s">
        <v>11</v>
      </c>
      <c r="B16" t="s">
        <v>12</v>
      </c>
      <c r="C16" t="s">
        <v>19</v>
      </c>
      <c r="D16" t="s">
        <v>20</v>
      </c>
      <c r="E16" t="s">
        <v>21</v>
      </c>
      <c r="F16" t="s">
        <v>7</v>
      </c>
      <c r="G16" t="s">
        <v>8</v>
      </c>
      <c r="H16" t="s">
        <v>9</v>
      </c>
    </row>
    <row r="17" spans="1:11" x14ac:dyDescent="0.2">
      <c r="A17" s="2">
        <v>0</v>
      </c>
      <c r="B17" s="2">
        <f t="shared" ref="B17:B30" si="0">-4*f/dlu^2*(A17^2-A17*dlu)</f>
        <v>0</v>
      </c>
      <c r="C17" s="2">
        <f t="shared" ref="C17:C23" si="1">-4*f/dlu^2*(2*A17-dlu)</f>
        <v>2.6666666666666665</v>
      </c>
      <c r="D17" s="2">
        <f t="shared" ref="D17:D30" si="2">1/SQRT(1+C17^2)</f>
        <v>0.3511234415883917</v>
      </c>
      <c r="E17" s="2">
        <f t="shared" ref="E17:E30" si="3">C17/SQRT(1+C17^2)</f>
        <v>0.93632917756904455</v>
      </c>
      <c r="F17" s="4">
        <f t="shared" ref="F17:F23" si="4">Va*A17-Ha*B17-q_par*A17^2/2-q_par/(0.5*dlu)*A17^3/6</f>
        <v>0</v>
      </c>
      <c r="G17" s="13">
        <f t="shared" ref="G17:G23" si="5">(Va-q_par*A17-q_par/(0.5*dlu)*A17^2/2)*D17-Ha*E17</f>
        <v>0</v>
      </c>
      <c r="H17" s="6">
        <f t="shared" ref="H17:H23" si="6">-(Va-q_par*A17-q_par/(0.5*dlu)*A17^2/2)*E17-Ha*D17</f>
        <v>-42.720018726587654</v>
      </c>
    </row>
    <row r="18" spans="1:11" x14ac:dyDescent="0.2">
      <c r="A18" s="2">
        <f>dlu/12</f>
        <v>0.5</v>
      </c>
      <c r="B18" s="2">
        <f t="shared" si="0"/>
        <v>1.2222222222222221</v>
      </c>
      <c r="C18" s="2">
        <f t="shared" si="1"/>
        <v>2.2222222222222223</v>
      </c>
      <c r="D18" s="2">
        <f t="shared" si="2"/>
        <v>0.41036467732879783</v>
      </c>
      <c r="E18" s="2">
        <f t="shared" si="3"/>
        <v>0.91192150517510639</v>
      </c>
      <c r="F18" s="5">
        <f t="shared" si="4"/>
        <v>0.34722222222222343</v>
      </c>
      <c r="G18" s="10">
        <f t="shared" si="5"/>
        <v>0.51295584666099714</v>
      </c>
      <c r="H18" s="7">
        <f t="shared" si="6"/>
        <v>-37.692755547237731</v>
      </c>
    </row>
    <row r="19" spans="1:11" x14ac:dyDescent="0.2">
      <c r="A19" s="2">
        <f>dlu/6</f>
        <v>1</v>
      </c>
      <c r="B19" s="2">
        <f t="shared" si="0"/>
        <v>2.2222222222222223</v>
      </c>
      <c r="C19" s="2">
        <f t="shared" si="1"/>
        <v>1.7777777777777777</v>
      </c>
      <c r="D19" s="2">
        <f t="shared" si="2"/>
        <v>0.49026123963255896</v>
      </c>
      <c r="E19" s="2">
        <f t="shared" si="3"/>
        <v>0.87157553712454927</v>
      </c>
      <c r="F19" s="5">
        <f t="shared" si="4"/>
        <v>1.1111111111111087</v>
      </c>
      <c r="G19" s="10">
        <f t="shared" si="5"/>
        <v>0.8171020660542645</v>
      </c>
      <c r="H19" s="7">
        <f t="shared" si="6"/>
        <v>-32.04855881301728</v>
      </c>
    </row>
    <row r="20" spans="1:11" x14ac:dyDescent="0.2">
      <c r="A20" s="2">
        <f>dlu/4</f>
        <v>1.5</v>
      </c>
      <c r="B20" s="2">
        <f t="shared" si="0"/>
        <v>3</v>
      </c>
      <c r="C20" s="2">
        <f t="shared" si="1"/>
        <v>1.3333333333333333</v>
      </c>
      <c r="D20" s="2">
        <f t="shared" si="2"/>
        <v>0.6</v>
      </c>
      <c r="E20" s="2">
        <f>C20/SQRT(1+C20^2)</f>
        <v>0.79999999999999993</v>
      </c>
      <c r="F20" s="5">
        <f t="shared" si="4"/>
        <v>1.875</v>
      </c>
      <c r="G20" s="10">
        <f t="shared" si="5"/>
        <v>0.75000000000000178</v>
      </c>
      <c r="H20" s="7">
        <f t="shared" si="6"/>
        <v>-26</v>
      </c>
    </row>
    <row r="21" spans="1:11" x14ac:dyDescent="0.2">
      <c r="A21" s="2">
        <f>dlu/3</f>
        <v>2</v>
      </c>
      <c r="B21" s="2">
        <f t="shared" si="0"/>
        <v>3.5555555555555554</v>
      </c>
      <c r="C21" s="2">
        <f t="shared" si="1"/>
        <v>0.88888888888888884</v>
      </c>
      <c r="D21" s="2">
        <f t="shared" si="2"/>
        <v>0.74740931868365967</v>
      </c>
      <c r="E21" s="2">
        <f>C21/SQRT(1+C21^2)</f>
        <v>0.66436383882991967</v>
      </c>
      <c r="F21" s="5">
        <f t="shared" si="4"/>
        <v>2.2222222222222268</v>
      </c>
      <c r="G21" s="10">
        <f t="shared" si="5"/>
        <v>0</v>
      </c>
      <c r="H21" s="7">
        <f t="shared" si="6"/>
        <v>-20.069324297987158</v>
      </c>
    </row>
    <row r="22" spans="1:11" x14ac:dyDescent="0.2">
      <c r="A22" s="2">
        <f>dlu/12*5</f>
        <v>2.5</v>
      </c>
      <c r="B22" s="2">
        <f t="shared" si="0"/>
        <v>3.8888888888888888</v>
      </c>
      <c r="C22" s="2">
        <f t="shared" si="1"/>
        <v>0.44444444444444442</v>
      </c>
      <c r="D22" s="2">
        <f t="shared" si="2"/>
        <v>0.91381154862025715</v>
      </c>
      <c r="E22" s="2">
        <f t="shared" si="3"/>
        <v>0.40613846605344761</v>
      </c>
      <c r="F22" s="5">
        <f t="shared" si="4"/>
        <v>1.7361111111111089</v>
      </c>
      <c r="G22" s="10">
        <f t="shared" si="5"/>
        <v>-1.9037740596255368</v>
      </c>
      <c r="H22" s="7">
        <f t="shared" si="6"/>
        <v>-15.568641198715492</v>
      </c>
    </row>
    <row r="23" spans="1:11" x14ac:dyDescent="0.2">
      <c r="A23" s="2">
        <f>dlu/2</f>
        <v>3</v>
      </c>
      <c r="B23" s="2">
        <f t="shared" si="0"/>
        <v>4</v>
      </c>
      <c r="C23" s="2">
        <f t="shared" si="1"/>
        <v>0</v>
      </c>
      <c r="D23" s="2">
        <f t="shared" si="2"/>
        <v>1</v>
      </c>
      <c r="E23" s="2">
        <f t="shared" si="3"/>
        <v>0</v>
      </c>
      <c r="F23" s="11">
        <f t="shared" si="4"/>
        <v>0</v>
      </c>
      <c r="G23" s="14">
        <f t="shared" si="5"/>
        <v>-5</v>
      </c>
      <c r="H23" s="12">
        <f t="shared" si="6"/>
        <v>-15</v>
      </c>
    </row>
    <row r="24" spans="1:11" x14ac:dyDescent="0.2">
      <c r="A24" s="2">
        <f>7*dlu/12</f>
        <v>3.5</v>
      </c>
      <c r="B24" s="2">
        <f t="shared" si="0"/>
        <v>3.8888888888888888</v>
      </c>
      <c r="C24" s="2">
        <f>-4*f/dlu^2*(2*A24-dlu)</f>
        <v>-0.44444444444444442</v>
      </c>
      <c r="D24" s="2">
        <f t="shared" si="2"/>
        <v>0.91381154862025715</v>
      </c>
      <c r="E24" s="2">
        <f>C24/SQRT(1+C24^2)</f>
        <v>-0.40613846605344761</v>
      </c>
      <c r="F24" s="4">
        <f>Va*A24-Ha*B24-q_par*0.5*dlu*(A24-0.25*dlu)-0.5*q_par*0.5*dlu*(A24-2/3*0.5*dlu)</f>
        <v>-0.83333333333334281</v>
      </c>
      <c r="G24" s="13">
        <f>(Va-1.5*q_par*0.5*dlu)*D24-Ha*E24</f>
        <v>1.5230192477004278</v>
      </c>
      <c r="H24" s="6">
        <f>(-Va+1.5*q_par*0.5*dlu)*E24-Ha*D24</f>
        <v>-15.737865559571095</v>
      </c>
    </row>
    <row r="25" spans="1:11" x14ac:dyDescent="0.2">
      <c r="A25" s="2">
        <f>2*dlu/3</f>
        <v>4</v>
      </c>
      <c r="B25" s="2">
        <f t="shared" si="0"/>
        <v>3.5555555555555554</v>
      </c>
      <c r="C25" s="2">
        <f t="shared" ref="C25:C30" si="7">-4*f/dlu^2*(2*A25-dlu)</f>
        <v>-0.88888888888888884</v>
      </c>
      <c r="D25" s="2">
        <f t="shared" si="2"/>
        <v>0.74740931868365967</v>
      </c>
      <c r="E25" s="2">
        <f t="shared" si="3"/>
        <v>-0.66436383882991967</v>
      </c>
      <c r="F25" s="5">
        <f>Va*A25-Ha*B25-q_par*0.5*dlu*(A25-0.25*dlu)-0.5*q_par*0.5*dlu*(A25-2/3*0.5*dlu)</f>
        <v>1.6666666666666714</v>
      </c>
      <c r="G25" s="10">
        <f>(Va-1.5*q_par*0.5*dlu)*D25-Ha*E25</f>
        <v>6.2284109890304968</v>
      </c>
      <c r="H25" s="7">
        <f>(-Va+1.5*q_par*0.5*dlu)*E25-Ha*D25</f>
        <v>-14.532958974404494</v>
      </c>
    </row>
    <row r="26" spans="1:11" x14ac:dyDescent="0.2">
      <c r="A26" s="2">
        <f>3*dlu/4</f>
        <v>4.5</v>
      </c>
      <c r="B26" s="2">
        <f t="shared" si="0"/>
        <v>3</v>
      </c>
      <c r="C26" s="2">
        <f t="shared" si="7"/>
        <v>-1.3333333333333333</v>
      </c>
      <c r="D26" s="2">
        <f t="shared" si="2"/>
        <v>0.6</v>
      </c>
      <c r="E26" s="2">
        <f t="shared" si="3"/>
        <v>-0.79999999999999993</v>
      </c>
      <c r="F26" s="11">
        <f>Va*A26-Ha*B26-q_par*0.5*dlu*(A26-0.25*dlu)-0.5*q_par*0.5*dlu*(A26-2/3*0.5*dlu)</f>
        <v>7.5</v>
      </c>
      <c r="G26" s="14">
        <f>(Va-1.5*q_par*0.5*dlu)*D26-Ha*E26</f>
        <v>8.9999999999999982</v>
      </c>
      <c r="H26" s="12">
        <f>(-Va+1.5*q_par*0.5*dlu)*E26-Ha*D26</f>
        <v>-13</v>
      </c>
    </row>
    <row r="27" spans="1:11" x14ac:dyDescent="0.2">
      <c r="A27" s="2">
        <f>3*dlu/4</f>
        <v>4.5</v>
      </c>
      <c r="B27" s="2">
        <f t="shared" si="0"/>
        <v>3</v>
      </c>
      <c r="C27" s="2">
        <f t="shared" si="7"/>
        <v>-1.3333333333333333</v>
      </c>
      <c r="D27" s="2">
        <f t="shared" si="2"/>
        <v>0.6</v>
      </c>
      <c r="E27" s="2">
        <f t="shared" si="3"/>
        <v>-0.79999999999999993</v>
      </c>
      <c r="F27" s="4">
        <f>Va*A27-Ha*B27-q_par*0.5*dlu*(A27-0.25*dlu)-0.5*q_par*0.5*dlu*(A27-2/3*0.5*dlu)-P_par*(A27-x_P)-P_par*(y_P-B27)</f>
        <v>7.5</v>
      </c>
      <c r="G27" s="13">
        <f>(Va-1.5*q_par*0.5*dlu-P_par)*D27-(Ha-P_par)*E27</f>
        <v>-5</v>
      </c>
      <c r="H27" s="6">
        <f>(-Va+1.5*q_par*0.5*dlu+P_par)*E27-(Ha-P_par)*D27</f>
        <v>-14.999999999999998</v>
      </c>
    </row>
    <row r="28" spans="1:11" x14ac:dyDescent="0.2">
      <c r="A28" s="2">
        <f>5*dlu/6</f>
        <v>5</v>
      </c>
      <c r="B28" s="2">
        <f t="shared" si="0"/>
        <v>2.2222222222222223</v>
      </c>
      <c r="C28" s="2">
        <f>-4*f/dlu^2*(2*A28-dlu)</f>
        <v>-1.7777777777777777</v>
      </c>
      <c r="D28" s="2">
        <f t="shared" si="2"/>
        <v>0.49026123963255896</v>
      </c>
      <c r="E28" s="2">
        <f>C28/SQRT(1+C28^2)</f>
        <v>-0.87157553712454927</v>
      </c>
      <c r="F28" s="5">
        <f>Va*A28-Ha*B28-q_par*0.5*dlu*(A28-0.25*dlu)-0.5*q_par*0.5*dlu*(A28-2/3*0.5*dlu)-P_par*(A28-x_P)-P_par*(y_P-B28)</f>
        <v>3.8888888888888804</v>
      </c>
      <c r="G28" s="10">
        <f>(Va-1.5*q_par*0.5*dlu-P_par)*D28-(Ha-P_par)*E28</f>
        <v>-2.9960409088656377</v>
      </c>
      <c r="H28" s="7">
        <f>(-Va+1.5*q_par*0.5*dlu+P_par)*E28-(Ha-P_par)*D28</f>
        <v>-15.524939255031034</v>
      </c>
    </row>
    <row r="29" spans="1:11" x14ac:dyDescent="0.2">
      <c r="A29" s="2">
        <f>11*dlu/12</f>
        <v>5.5</v>
      </c>
      <c r="B29" s="2">
        <f t="shared" si="0"/>
        <v>1.2222222222222221</v>
      </c>
      <c r="C29" s="2">
        <f t="shared" si="7"/>
        <v>-2.2222222222222223</v>
      </c>
      <c r="D29" s="2">
        <f t="shared" si="2"/>
        <v>0.41036467732879783</v>
      </c>
      <c r="E29" s="2">
        <f t="shared" si="3"/>
        <v>-0.91192150517510639</v>
      </c>
      <c r="F29" s="5">
        <f>Va*A29-Ha*B29-q_par*0.5*dlu*(A29-0.25*dlu)-0.5*q_par*0.5*dlu*(A29-2/3*0.5*dlu)-P_par*(A29-x_P)-P_par*(y_P-B29)</f>
        <v>1.3888888888888786</v>
      </c>
      <c r="G29" s="10">
        <f>(Va-1.5*q_par*0.5*dlu-P_par)*D29-(Ha-P_par)*E29</f>
        <v>-1.5958626340564352</v>
      </c>
      <c r="H29" s="7">
        <f>(-Va+1.5*q_par*0.5*dlu+P_par)*E29-(Ha-P_par)*D29</f>
        <v>-15.730645964270584</v>
      </c>
    </row>
    <row r="30" spans="1:11" x14ac:dyDescent="0.2">
      <c r="A30" s="2">
        <f>dlu</f>
        <v>6</v>
      </c>
      <c r="B30" s="2">
        <f t="shared" si="0"/>
        <v>0</v>
      </c>
      <c r="C30" s="2">
        <f t="shared" si="7"/>
        <v>-2.6666666666666665</v>
      </c>
      <c r="D30" s="2">
        <f t="shared" si="2"/>
        <v>0.3511234415883917</v>
      </c>
      <c r="E30" s="2">
        <f t="shared" si="3"/>
        <v>-0.93632917756904455</v>
      </c>
      <c r="F30" s="11">
        <f>Va*A30-Ha*B30-q_par*0.5*dlu*(A30-0.25*dlu)-0.5*q_par*0.5*dlu*(A30-2/3*0.5*dlu)-P_par*(A30-x_P)-P_par*(y_P-B30)</f>
        <v>0</v>
      </c>
      <c r="G30" s="14">
        <f>(Va-1.5*q_par*0.5*dlu-P_par)*D30-(Ha-P_par)*E30</f>
        <v>-0.58520573598065262</v>
      </c>
      <c r="H30" s="12">
        <f>(-Va+1.5*q_par*0.5*dlu+P_par)*E30-(Ha-P_par)*D30</f>
        <v>-15.800554871477626</v>
      </c>
      <c r="K30">
        <f>Vbp^2+Hbp^2-G30^2-H29:H30^2</f>
        <v>0</v>
      </c>
    </row>
  </sheetData>
  <sheetProtection password="8D88" sheet="1" objects="1" scenarios="1"/>
  <customSheetViews>
    <customSheetView guid="{484FCF24-996E-4569-BED5-50606160D3A0}" showRuler="0"/>
    <customSheetView guid="{2DC63A75-8E99-4D2A-91A2-FF74286B6910}">
      <selection activeCell="O15" sqref="O15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48"/>
  <sheetViews>
    <sheetView workbookViewId="0">
      <selection activeCell="A24" sqref="A24"/>
    </sheetView>
  </sheetViews>
  <sheetFormatPr defaultRowHeight="12.75" x14ac:dyDescent="0.2"/>
  <cols>
    <col min="7" max="7" width="8.5" customWidth="1"/>
    <col min="8" max="8" width="7.83203125" customWidth="1"/>
    <col min="9" max="9" width="9" customWidth="1"/>
  </cols>
  <sheetData>
    <row r="1" spans="1:10" x14ac:dyDescent="0.2">
      <c r="A1" t="s">
        <v>11</v>
      </c>
      <c r="B1" t="s">
        <v>12</v>
      </c>
      <c r="C1" t="s">
        <v>7</v>
      </c>
      <c r="D1" t="s">
        <v>36</v>
      </c>
      <c r="E1" t="s">
        <v>37</v>
      </c>
      <c r="F1" t="s">
        <v>35</v>
      </c>
      <c r="G1" t="s">
        <v>27</v>
      </c>
      <c r="H1" t="s">
        <v>28</v>
      </c>
      <c r="I1" t="s">
        <v>33</v>
      </c>
    </row>
    <row r="2" spans="1:10" x14ac:dyDescent="0.2">
      <c r="A2">
        <v>0</v>
      </c>
      <c r="B2">
        <f t="shared" ref="B2:B44" si="0">-4*f/dlu^2*(A2^2-A2*dlu)</f>
        <v>0</v>
      </c>
      <c r="C2">
        <f t="shared" ref="C2:C22" si="1">Va*A2-Ha*B2-q_par*A2^2/2-q_par/dlu*2*A2^3/6</f>
        <v>0</v>
      </c>
      <c r="D2">
        <f t="shared" ref="D2:D44" si="2">-4*f/dlu^2*(2*A2-dlu)</f>
        <v>2.6666666666666665</v>
      </c>
      <c r="E2">
        <f>1/(1+D2^2)^0.5</f>
        <v>0.3511234415883917</v>
      </c>
      <c r="F2">
        <f>D2*E2</f>
        <v>0.93632917756904455</v>
      </c>
      <c r="G2">
        <f>A2+$C$47*C2*F2</f>
        <v>0</v>
      </c>
      <c r="H2">
        <f>B2-$C$47*C2*E2</f>
        <v>0</v>
      </c>
      <c r="I2">
        <f>CEILING(G46+0.1*(G46-G47),0.1)</f>
        <v>6.7</v>
      </c>
      <c r="J2">
        <f>CEILING(H46+0.1*(H46-H47),0.1)</f>
        <v>4.5</v>
      </c>
    </row>
    <row r="3" spans="1:10" x14ac:dyDescent="0.2">
      <c r="A3">
        <f t="shared" ref="A3:A22" si="3">A2+dlu*0.025</f>
        <v>0.15000000000000002</v>
      </c>
      <c r="B3">
        <f t="shared" si="0"/>
        <v>0.39000000000000007</v>
      </c>
      <c r="C3">
        <f t="shared" si="1"/>
        <v>3.5624999999999435E-2</v>
      </c>
      <c r="D3">
        <f t="shared" si="2"/>
        <v>2.5333333333333332</v>
      </c>
      <c r="E3">
        <f t="shared" ref="E3:E44" si="4">1/(1+D3^2)^0.5</f>
        <v>0.36716653473604849</v>
      </c>
      <c r="F3">
        <f t="shared" ref="F3:F44" si="5">D3*E3</f>
        <v>0.93015522133132278</v>
      </c>
      <c r="G3">
        <f t="shared" ref="G3:G44" si="6">A3+$C$47*C3*F3</f>
        <v>0.153534589841059</v>
      </c>
      <c r="H3">
        <f t="shared" ref="H3:H44" si="7">B3-$C$47*C3*E3</f>
        <v>0.38860476716800313</v>
      </c>
      <c r="I3">
        <f>CEILING(G47-0.1*(G46-G47),-1)</f>
        <v>-1</v>
      </c>
      <c r="J3">
        <f>CEILING(H47-0.1*(H46-H47),-1)</f>
        <v>-1</v>
      </c>
    </row>
    <row r="4" spans="1:10" x14ac:dyDescent="0.2">
      <c r="A4">
        <f t="shared" si="3"/>
        <v>0.30000000000000004</v>
      </c>
      <c r="B4">
        <f t="shared" si="0"/>
        <v>0.76</v>
      </c>
      <c r="C4">
        <f t="shared" si="1"/>
        <v>0.13500000000000129</v>
      </c>
      <c r="D4">
        <f t="shared" si="2"/>
        <v>2.4</v>
      </c>
      <c r="E4">
        <f t="shared" si="4"/>
        <v>0.38461538461538458</v>
      </c>
      <c r="F4">
        <f t="shared" si="5"/>
        <v>0.92307692307692291</v>
      </c>
      <c r="G4">
        <f t="shared" si="6"/>
        <v>0.31329230769230787</v>
      </c>
      <c r="H4">
        <f t="shared" si="7"/>
        <v>0.75446153846153841</v>
      </c>
      <c r="I4">
        <v>1</v>
      </c>
      <c r="J4">
        <v>1</v>
      </c>
    </row>
    <row r="5" spans="1:10" x14ac:dyDescent="0.2">
      <c r="A5">
        <f t="shared" si="3"/>
        <v>0.45000000000000007</v>
      </c>
      <c r="B5">
        <f t="shared" si="0"/>
        <v>1.1099999999999999</v>
      </c>
      <c r="C5">
        <f t="shared" si="1"/>
        <v>0.28687500000000454</v>
      </c>
      <c r="D5">
        <f t="shared" si="2"/>
        <v>2.2666666666666662</v>
      </c>
      <c r="E5">
        <f t="shared" si="4"/>
        <v>0.40364020657629363</v>
      </c>
      <c r="F5">
        <f t="shared" si="5"/>
        <v>0.91491780157293201</v>
      </c>
      <c r="G5">
        <f t="shared" si="6"/>
        <v>0.47799648472813222</v>
      </c>
      <c r="H5">
        <f t="shared" si="7"/>
        <v>1.097648609678765</v>
      </c>
    </row>
    <row r="6" spans="1:10" x14ac:dyDescent="0.2">
      <c r="A6">
        <f t="shared" si="3"/>
        <v>0.60000000000000009</v>
      </c>
      <c r="B6">
        <f t="shared" si="0"/>
        <v>1.44</v>
      </c>
      <c r="C6">
        <f t="shared" si="1"/>
        <v>0.48000000000000514</v>
      </c>
      <c r="D6">
        <f t="shared" si="2"/>
        <v>2.1333333333333333</v>
      </c>
      <c r="E6">
        <f t="shared" si="4"/>
        <v>0.4244338762307196</v>
      </c>
      <c r="F6">
        <f t="shared" si="5"/>
        <v>0.9054589359588685</v>
      </c>
      <c r="G6">
        <f t="shared" si="6"/>
        <v>0.64635949752109467</v>
      </c>
      <c r="H6">
        <f t="shared" si="7"/>
        <v>1.4182689855369868</v>
      </c>
    </row>
    <row r="7" spans="1:10" x14ac:dyDescent="0.2">
      <c r="A7">
        <f t="shared" si="3"/>
        <v>0.75000000000000011</v>
      </c>
      <c r="B7">
        <f t="shared" si="0"/>
        <v>1.7500000000000002</v>
      </c>
      <c r="C7">
        <f t="shared" si="1"/>
        <v>0.703124999999999</v>
      </c>
      <c r="D7">
        <f t="shared" si="2"/>
        <v>2</v>
      </c>
      <c r="E7">
        <f t="shared" si="4"/>
        <v>0.44721359549995793</v>
      </c>
      <c r="F7">
        <f t="shared" si="5"/>
        <v>0.89442719099991586</v>
      </c>
      <c r="G7">
        <f t="shared" si="6"/>
        <v>0.81708203932499368</v>
      </c>
      <c r="H7">
        <f t="shared" si="7"/>
        <v>1.7164589803375034</v>
      </c>
    </row>
    <row r="8" spans="1:10" x14ac:dyDescent="0.2">
      <c r="A8">
        <f t="shared" si="3"/>
        <v>0.90000000000000013</v>
      </c>
      <c r="B8">
        <f t="shared" si="0"/>
        <v>2.04</v>
      </c>
      <c r="C8">
        <f t="shared" si="1"/>
        <v>0.94500000000000384</v>
      </c>
      <c r="D8">
        <f t="shared" si="2"/>
        <v>1.8666666666666663</v>
      </c>
      <c r="E8">
        <f t="shared" si="4"/>
        <v>0.47222141251541905</v>
      </c>
      <c r="F8">
        <f t="shared" si="5"/>
        <v>0.88147997002878198</v>
      </c>
      <c r="G8">
        <f t="shared" si="6"/>
        <v>0.98885318097890174</v>
      </c>
      <c r="H8">
        <f t="shared" si="7"/>
        <v>1.9924000816184455</v>
      </c>
    </row>
    <row r="9" spans="1:10" x14ac:dyDescent="0.2">
      <c r="A9">
        <f t="shared" si="3"/>
        <v>1.0500000000000003</v>
      </c>
      <c r="B9">
        <f t="shared" si="0"/>
        <v>2.3100000000000005</v>
      </c>
      <c r="C9">
        <f t="shared" si="1"/>
        <v>1.1943750000000053</v>
      </c>
      <c r="D9">
        <f t="shared" si="2"/>
        <v>1.7333333333333329</v>
      </c>
      <c r="E9">
        <f t="shared" si="4"/>
        <v>0.49972245348957722</v>
      </c>
      <c r="F9">
        <f t="shared" si="5"/>
        <v>0.8661855860486003</v>
      </c>
      <c r="G9">
        <f t="shared" si="6"/>
        <v>1.1603520436625925</v>
      </c>
      <c r="H9">
        <f t="shared" si="7"/>
        <v>2.2463353594254283</v>
      </c>
    </row>
    <row r="10" spans="1:10" x14ac:dyDescent="0.2">
      <c r="A10">
        <f t="shared" si="3"/>
        <v>1.2000000000000002</v>
      </c>
      <c r="B10">
        <f t="shared" si="0"/>
        <v>2.56</v>
      </c>
      <c r="C10">
        <f t="shared" si="1"/>
        <v>1.4400000000000062</v>
      </c>
      <c r="D10">
        <f t="shared" si="2"/>
        <v>1.5999999999999996</v>
      </c>
      <c r="E10">
        <f t="shared" si="4"/>
        <v>0.52999894000318004</v>
      </c>
      <c r="F10">
        <f t="shared" si="5"/>
        <v>0.84799830400508791</v>
      </c>
      <c r="G10">
        <f t="shared" si="6"/>
        <v>1.3302525394951823</v>
      </c>
      <c r="H10">
        <f t="shared" si="7"/>
        <v>2.4785921628155112</v>
      </c>
    </row>
    <row r="11" spans="1:10" x14ac:dyDescent="0.2">
      <c r="A11">
        <f t="shared" si="3"/>
        <v>1.35</v>
      </c>
      <c r="B11">
        <f t="shared" si="0"/>
        <v>2.7900000000000005</v>
      </c>
      <c r="C11">
        <f t="shared" si="1"/>
        <v>1.6706249999999905</v>
      </c>
      <c r="D11">
        <f t="shared" si="2"/>
        <v>1.4666666666666666</v>
      </c>
      <c r="E11">
        <f t="shared" si="4"/>
        <v>0.5633368246415098</v>
      </c>
      <c r="F11">
        <f t="shared" si="5"/>
        <v>0.82622734280754762</v>
      </c>
      <c r="G11">
        <f t="shared" si="6"/>
        <v>1.4972337124883042</v>
      </c>
      <c r="H11">
        <f t="shared" si="7"/>
        <v>2.6896133778488842</v>
      </c>
    </row>
    <row r="12" spans="1:10" x14ac:dyDescent="0.2">
      <c r="A12">
        <f t="shared" si="3"/>
        <v>1.5</v>
      </c>
      <c r="B12">
        <f t="shared" si="0"/>
        <v>3</v>
      </c>
      <c r="C12">
        <f t="shared" si="1"/>
        <v>1.875</v>
      </c>
      <c r="D12">
        <f t="shared" si="2"/>
        <v>1.3333333333333333</v>
      </c>
      <c r="E12">
        <f t="shared" si="4"/>
        <v>0.6</v>
      </c>
      <c r="F12">
        <f t="shared" si="5"/>
        <v>0.79999999999999993</v>
      </c>
      <c r="G12">
        <f t="shared" si="6"/>
        <v>1.66</v>
      </c>
      <c r="H12">
        <f t="shared" si="7"/>
        <v>2.88</v>
      </c>
    </row>
    <row r="13" spans="1:10" x14ac:dyDescent="0.2">
      <c r="A13">
        <f t="shared" si="3"/>
        <v>1.65</v>
      </c>
      <c r="B13">
        <f t="shared" si="0"/>
        <v>3.1899999999999991</v>
      </c>
      <c r="C13">
        <f t="shared" si="1"/>
        <v>2.0418750000000139</v>
      </c>
      <c r="D13">
        <f t="shared" si="2"/>
        <v>1.2</v>
      </c>
      <c r="E13">
        <f t="shared" si="4"/>
        <v>0.64018439966447993</v>
      </c>
      <c r="F13">
        <f t="shared" si="5"/>
        <v>0.76822127959737585</v>
      </c>
      <c r="G13">
        <f t="shared" si="6"/>
        <v>1.8173185946963095</v>
      </c>
      <c r="H13">
        <f t="shared" si="7"/>
        <v>3.0505678377530745</v>
      </c>
    </row>
    <row r="14" spans="1:10" x14ac:dyDescent="0.2">
      <c r="A14">
        <f t="shared" si="3"/>
        <v>1.7999999999999998</v>
      </c>
      <c r="B14">
        <f t="shared" si="0"/>
        <v>3.3599999999999994</v>
      </c>
      <c r="C14">
        <f t="shared" si="1"/>
        <v>2.1600000000000139</v>
      </c>
      <c r="D14">
        <f t="shared" si="2"/>
        <v>1.0666666666666669</v>
      </c>
      <c r="E14">
        <f t="shared" si="4"/>
        <v>0.68394112888132985</v>
      </c>
      <c r="F14">
        <f t="shared" si="5"/>
        <v>0.72953720414008527</v>
      </c>
      <c r="G14">
        <f t="shared" si="6"/>
        <v>1.9680853718338764</v>
      </c>
      <c r="H14">
        <f t="shared" si="7"/>
        <v>3.20241996390574</v>
      </c>
    </row>
    <row r="15" spans="1:10" x14ac:dyDescent="0.2">
      <c r="A15">
        <f t="shared" si="3"/>
        <v>1.9499999999999997</v>
      </c>
      <c r="B15">
        <f t="shared" si="0"/>
        <v>3.5100000000000002</v>
      </c>
      <c r="C15">
        <f t="shared" si="1"/>
        <v>2.2181249999999855</v>
      </c>
      <c r="D15">
        <f t="shared" si="2"/>
        <v>0.93333333333333357</v>
      </c>
      <c r="E15">
        <f t="shared" si="4"/>
        <v>0.73105526824286893</v>
      </c>
      <c r="F15">
        <f t="shared" si="5"/>
        <v>0.68231825036001115</v>
      </c>
      <c r="G15">
        <f t="shared" si="6"/>
        <v>2.1114364980351774</v>
      </c>
      <c r="H15">
        <f t="shared" si="7"/>
        <v>3.3370323235337387</v>
      </c>
    </row>
    <row r="16" spans="1:10" x14ac:dyDescent="0.2">
      <c r="A16">
        <f t="shared" si="3"/>
        <v>2.0999999999999996</v>
      </c>
      <c r="B16">
        <f t="shared" si="0"/>
        <v>3.6399999999999997</v>
      </c>
      <c r="C16">
        <f t="shared" si="1"/>
        <v>2.2050000000000036</v>
      </c>
      <c r="D16">
        <f t="shared" si="2"/>
        <v>0.80000000000000027</v>
      </c>
      <c r="E16">
        <f t="shared" si="4"/>
        <v>0.78086880944303017</v>
      </c>
      <c r="F16">
        <f t="shared" si="5"/>
        <v>0.62469504755442429</v>
      </c>
      <c r="G16">
        <f t="shared" si="6"/>
        <v>2.2469282751848003</v>
      </c>
      <c r="H16">
        <f t="shared" si="7"/>
        <v>3.4563396560189985</v>
      </c>
    </row>
    <row r="17" spans="1:8" x14ac:dyDescent="0.2">
      <c r="A17">
        <f t="shared" si="3"/>
        <v>2.2499999999999996</v>
      </c>
      <c r="B17">
        <f t="shared" si="0"/>
        <v>3.7499999999999991</v>
      </c>
      <c r="C17">
        <f t="shared" si="1"/>
        <v>2.1093750000000107</v>
      </c>
      <c r="D17">
        <f t="shared" si="2"/>
        <v>0.66666666666666707</v>
      </c>
      <c r="E17">
        <f t="shared" si="4"/>
        <v>0.8320502943378435</v>
      </c>
      <c r="F17">
        <f t="shared" si="5"/>
        <v>0.55470019622522937</v>
      </c>
      <c r="G17">
        <f t="shared" si="6"/>
        <v>2.3748075441506766</v>
      </c>
      <c r="H17">
        <f t="shared" si="7"/>
        <v>3.5627886837739835</v>
      </c>
    </row>
    <row r="18" spans="1:8" x14ac:dyDescent="0.2">
      <c r="A18">
        <f t="shared" si="3"/>
        <v>2.3999999999999995</v>
      </c>
      <c r="B18">
        <f t="shared" si="0"/>
        <v>3.84</v>
      </c>
      <c r="C18">
        <f t="shared" si="1"/>
        <v>1.9199999999999973</v>
      </c>
      <c r="D18">
        <f t="shared" si="2"/>
        <v>0.53333333333333377</v>
      </c>
      <c r="E18">
        <f t="shared" si="4"/>
        <v>0.88235294117647045</v>
      </c>
      <c r="F18">
        <f t="shared" si="5"/>
        <v>0.47058823529411797</v>
      </c>
      <c r="G18">
        <f t="shared" si="6"/>
        <v>2.4963764705882348</v>
      </c>
      <c r="H18">
        <f t="shared" si="7"/>
        <v>3.6592941176470588</v>
      </c>
    </row>
    <row r="19" spans="1:8" x14ac:dyDescent="0.2">
      <c r="A19">
        <f t="shared" si="3"/>
        <v>2.5499999999999994</v>
      </c>
      <c r="B19">
        <f t="shared" si="0"/>
        <v>3.9099999999999997</v>
      </c>
      <c r="C19">
        <f t="shared" si="1"/>
        <v>1.6256249999999977</v>
      </c>
      <c r="D19">
        <f t="shared" si="2"/>
        <v>0.40000000000000052</v>
      </c>
      <c r="E19">
        <f t="shared" si="4"/>
        <v>0.92847669088525919</v>
      </c>
      <c r="F19">
        <f t="shared" si="5"/>
        <v>0.37139067635410417</v>
      </c>
      <c r="G19">
        <f t="shared" si="6"/>
        <v>2.6143991432798011</v>
      </c>
      <c r="H19">
        <f t="shared" si="7"/>
        <v>3.7490021418004962</v>
      </c>
    </row>
    <row r="20" spans="1:8" x14ac:dyDescent="0.2">
      <c r="A20">
        <f t="shared" si="3"/>
        <v>2.6999999999999993</v>
      </c>
      <c r="B20">
        <f t="shared" si="0"/>
        <v>3.96</v>
      </c>
      <c r="C20">
        <f t="shared" si="1"/>
        <v>1.2149999999999981</v>
      </c>
      <c r="D20">
        <f t="shared" si="2"/>
        <v>0.26666666666666727</v>
      </c>
      <c r="E20">
        <f t="shared" si="4"/>
        <v>0.96623493960124607</v>
      </c>
      <c r="F20">
        <f t="shared" si="5"/>
        <v>0.25766265056033288</v>
      </c>
      <c r="G20">
        <f t="shared" si="6"/>
        <v>2.7333930795126182</v>
      </c>
      <c r="H20">
        <f t="shared" si="7"/>
        <v>3.8347759518276785</v>
      </c>
    </row>
    <row r="21" spans="1:8" x14ac:dyDescent="0.2">
      <c r="A21">
        <f t="shared" si="3"/>
        <v>2.8499999999999992</v>
      </c>
      <c r="B21">
        <f t="shared" si="0"/>
        <v>3.9899999999999993</v>
      </c>
      <c r="C21">
        <f t="shared" si="1"/>
        <v>0.67687500000001855</v>
      </c>
      <c r="D21">
        <f t="shared" si="2"/>
        <v>0.13333333333333403</v>
      </c>
      <c r="E21">
        <f t="shared" si="4"/>
        <v>0.99122790068263456</v>
      </c>
      <c r="F21">
        <f t="shared" si="5"/>
        <v>0.13216372009101862</v>
      </c>
      <c r="G21">
        <f t="shared" si="6"/>
        <v>2.8595422205905709</v>
      </c>
      <c r="H21">
        <f t="shared" si="7"/>
        <v>3.918433345570711</v>
      </c>
    </row>
    <row r="22" spans="1:8" x14ac:dyDescent="0.2">
      <c r="A22">
        <f t="shared" si="3"/>
        <v>2.9999999999999991</v>
      </c>
      <c r="B22">
        <f t="shared" si="0"/>
        <v>3.9999999999999991</v>
      </c>
      <c r="C22">
        <f t="shared" si="1"/>
        <v>2.8421709430404007E-14</v>
      </c>
      <c r="D22">
        <f t="shared" si="2"/>
        <v>7.894919286223335E-16</v>
      </c>
      <c r="E22">
        <f t="shared" si="4"/>
        <v>1</v>
      </c>
      <c r="F22">
        <f t="shared" si="5"/>
        <v>7.894919286223335E-16</v>
      </c>
      <c r="G22">
        <f t="shared" si="6"/>
        <v>2.9999999999999991</v>
      </c>
      <c r="H22">
        <f t="shared" si="7"/>
        <v>3.999999999999996</v>
      </c>
    </row>
    <row r="23" spans="1:8" x14ac:dyDescent="0.2">
      <c r="A23">
        <f>A22</f>
        <v>2.9999999999999991</v>
      </c>
      <c r="B23">
        <f t="shared" si="0"/>
        <v>3.9999999999999991</v>
      </c>
      <c r="C23">
        <f t="shared" ref="C23:C33" si="8">Va*A23-Ha*B23-q_par*dlu/2*(A23-dlu/4)-q_par/2*dlu/2*(A23-2/3*dlu/2)</f>
        <v>2.8421709430404007E-14</v>
      </c>
      <c r="D23">
        <f t="shared" si="2"/>
        <v>7.894919286223335E-16</v>
      </c>
      <c r="E23">
        <f t="shared" si="4"/>
        <v>1</v>
      </c>
      <c r="F23">
        <f t="shared" si="5"/>
        <v>7.894919286223335E-16</v>
      </c>
      <c r="G23">
        <f t="shared" si="6"/>
        <v>2.9999999999999991</v>
      </c>
      <c r="H23">
        <f t="shared" si="7"/>
        <v>3.999999999999996</v>
      </c>
    </row>
    <row r="24" spans="1:8" x14ac:dyDescent="0.2">
      <c r="A24">
        <f>A22+dlu*0.025</f>
        <v>3.149999999999999</v>
      </c>
      <c r="B24">
        <f t="shared" si="0"/>
        <v>3.99</v>
      </c>
      <c r="C24">
        <f t="shared" si="8"/>
        <v>-0.60000000000000853</v>
      </c>
      <c r="D24">
        <f t="shared" si="2"/>
        <v>-0.13333333333333247</v>
      </c>
      <c r="E24">
        <f t="shared" si="4"/>
        <v>0.99122790068263478</v>
      </c>
      <c r="F24">
        <f t="shared" si="5"/>
        <v>-0.13216372009101712</v>
      </c>
      <c r="G24">
        <f t="shared" si="6"/>
        <v>3.1584584780858243</v>
      </c>
      <c r="H24">
        <f t="shared" si="7"/>
        <v>4.0534385856436899</v>
      </c>
    </row>
    <row r="25" spans="1:8" x14ac:dyDescent="0.2">
      <c r="A25">
        <f t="shared" ref="A25:A33" si="9">A24+dlu*0.025</f>
        <v>3.2999999999999989</v>
      </c>
      <c r="B25">
        <f t="shared" si="0"/>
        <v>3.96</v>
      </c>
      <c r="C25">
        <f t="shared" si="8"/>
        <v>-0.9000000000000199</v>
      </c>
      <c r="D25">
        <f t="shared" si="2"/>
        <v>-0.26666666666666572</v>
      </c>
      <c r="E25">
        <f t="shared" si="4"/>
        <v>0.96623493960124651</v>
      </c>
      <c r="F25">
        <f t="shared" si="5"/>
        <v>-0.2576626505603315</v>
      </c>
      <c r="G25">
        <f t="shared" si="6"/>
        <v>3.3247356144537914</v>
      </c>
      <c r="H25">
        <f t="shared" si="7"/>
        <v>4.0527585542017217</v>
      </c>
    </row>
    <row r="26" spans="1:8" x14ac:dyDescent="0.2">
      <c r="A26">
        <f t="shared" si="9"/>
        <v>3.4499999999999988</v>
      </c>
      <c r="B26">
        <f t="shared" si="0"/>
        <v>3.9099999999999997</v>
      </c>
      <c r="C26">
        <f t="shared" si="8"/>
        <v>-0.90000000000000924</v>
      </c>
      <c r="D26">
        <f t="shared" si="2"/>
        <v>-0.39999999999999897</v>
      </c>
      <c r="E26">
        <f t="shared" si="4"/>
        <v>0.92847669088525953</v>
      </c>
      <c r="F26">
        <f t="shared" si="5"/>
        <v>-0.37139067635410283</v>
      </c>
      <c r="G26">
        <f t="shared" si="6"/>
        <v>3.485653504929993</v>
      </c>
      <c r="H26">
        <f t="shared" si="7"/>
        <v>3.9991337623249854</v>
      </c>
    </row>
    <row r="27" spans="1:8" x14ac:dyDescent="0.2">
      <c r="A27">
        <f t="shared" si="9"/>
        <v>3.5999999999999988</v>
      </c>
      <c r="B27">
        <f t="shared" si="0"/>
        <v>3.8400000000000016</v>
      </c>
      <c r="C27">
        <f t="shared" si="8"/>
        <v>-0.60000000000002629</v>
      </c>
      <c r="D27">
        <f t="shared" si="2"/>
        <v>-0.53333333333333222</v>
      </c>
      <c r="E27">
        <f t="shared" si="4"/>
        <v>0.88235294117647101</v>
      </c>
      <c r="F27">
        <f t="shared" si="5"/>
        <v>-0.47058823529411686</v>
      </c>
      <c r="G27">
        <f t="shared" si="6"/>
        <v>3.6301176470588237</v>
      </c>
      <c r="H27">
        <f t="shared" si="7"/>
        <v>3.8964705882352981</v>
      </c>
    </row>
    <row r="28" spans="1:8" x14ac:dyDescent="0.2">
      <c r="A28">
        <f t="shared" si="9"/>
        <v>3.7499999999999987</v>
      </c>
      <c r="B28">
        <f t="shared" si="0"/>
        <v>3.7500000000000013</v>
      </c>
      <c r="C28">
        <f t="shared" si="8"/>
        <v>0</v>
      </c>
      <c r="D28">
        <f t="shared" si="2"/>
        <v>-0.66666666666666541</v>
      </c>
      <c r="E28">
        <f t="shared" si="4"/>
        <v>0.83205029433784417</v>
      </c>
      <c r="F28">
        <f t="shared" si="5"/>
        <v>-0.55470019622522837</v>
      </c>
      <c r="G28">
        <f t="shared" si="6"/>
        <v>3.7499999999999987</v>
      </c>
      <c r="H28">
        <f t="shared" si="7"/>
        <v>3.7500000000000013</v>
      </c>
    </row>
    <row r="29" spans="1:8" x14ac:dyDescent="0.2">
      <c r="A29">
        <f t="shared" si="9"/>
        <v>3.8999999999999986</v>
      </c>
      <c r="B29">
        <f t="shared" si="0"/>
        <v>3.640000000000001</v>
      </c>
      <c r="C29">
        <f t="shared" si="8"/>
        <v>0.89999999999998437</v>
      </c>
      <c r="D29">
        <f t="shared" si="2"/>
        <v>-0.79999999999999871</v>
      </c>
      <c r="E29">
        <f t="shared" si="4"/>
        <v>0.78086880944303083</v>
      </c>
      <c r="F29">
        <f t="shared" si="5"/>
        <v>-0.62469504755442362</v>
      </c>
      <c r="G29">
        <f t="shared" si="6"/>
        <v>3.8400292754347749</v>
      </c>
      <c r="H29">
        <f t="shared" si="7"/>
        <v>3.5650365942934714</v>
      </c>
    </row>
    <row r="30" spans="1:8" x14ac:dyDescent="0.2">
      <c r="A30">
        <f t="shared" si="9"/>
        <v>4.0499999999999989</v>
      </c>
      <c r="B30">
        <f t="shared" si="0"/>
        <v>3.5100000000000002</v>
      </c>
      <c r="C30">
        <f t="shared" si="8"/>
        <v>2.0999999999999801</v>
      </c>
      <c r="D30">
        <f t="shared" si="2"/>
        <v>-0.93333333333333235</v>
      </c>
      <c r="E30">
        <f t="shared" si="4"/>
        <v>0.73105526824286948</v>
      </c>
      <c r="F30">
        <f t="shared" si="5"/>
        <v>-0.68231825036001081</v>
      </c>
      <c r="G30">
        <f t="shared" si="6"/>
        <v>3.8971607119193581</v>
      </c>
      <c r="H30">
        <f t="shared" si="7"/>
        <v>3.346243619913599</v>
      </c>
    </row>
    <row r="31" spans="1:8" x14ac:dyDescent="0.2">
      <c r="A31">
        <f t="shared" si="9"/>
        <v>4.1999999999999993</v>
      </c>
      <c r="B31">
        <f t="shared" si="0"/>
        <v>3.3600000000000008</v>
      </c>
      <c r="C31">
        <f t="shared" si="8"/>
        <v>3.6000000000000085</v>
      </c>
      <c r="D31">
        <f t="shared" si="2"/>
        <v>-1.066666666666666</v>
      </c>
      <c r="E31">
        <f t="shared" si="4"/>
        <v>0.68394112888132996</v>
      </c>
      <c r="F31">
        <f t="shared" si="5"/>
        <v>-0.72953720414008483</v>
      </c>
      <c r="G31">
        <f t="shared" si="6"/>
        <v>3.919857713610206</v>
      </c>
      <c r="H31">
        <f t="shared" si="7"/>
        <v>3.0973666065095693</v>
      </c>
    </row>
    <row r="32" spans="1:8" x14ac:dyDescent="0.2">
      <c r="A32">
        <f t="shared" si="9"/>
        <v>4.3499999999999996</v>
      </c>
      <c r="B32">
        <f t="shared" si="0"/>
        <v>3.1900000000000008</v>
      </c>
      <c r="C32">
        <f t="shared" si="8"/>
        <v>5.3999999999999986</v>
      </c>
      <c r="D32">
        <f t="shared" si="2"/>
        <v>-1.1999999999999995</v>
      </c>
      <c r="E32">
        <f t="shared" si="4"/>
        <v>0.64018439966448004</v>
      </c>
      <c r="F32">
        <f t="shared" si="5"/>
        <v>-0.76822127959737574</v>
      </c>
      <c r="G32">
        <f t="shared" si="6"/>
        <v>3.9075045429519113</v>
      </c>
      <c r="H32">
        <f t="shared" si="7"/>
        <v>2.8212537857932602</v>
      </c>
    </row>
    <row r="33" spans="1:8" x14ac:dyDescent="0.2">
      <c r="A33">
        <f t="shared" si="9"/>
        <v>4.5</v>
      </c>
      <c r="B33">
        <f t="shared" si="0"/>
        <v>3</v>
      </c>
      <c r="C33">
        <f t="shared" si="8"/>
        <v>7.5</v>
      </c>
      <c r="D33">
        <f t="shared" si="2"/>
        <v>-1.3333333333333333</v>
      </c>
      <c r="E33">
        <f t="shared" si="4"/>
        <v>0.6</v>
      </c>
      <c r="F33">
        <f t="shared" si="5"/>
        <v>-0.79999999999999993</v>
      </c>
      <c r="G33">
        <f t="shared" si="6"/>
        <v>3.86</v>
      </c>
      <c r="H33">
        <f t="shared" si="7"/>
        <v>2.52</v>
      </c>
    </row>
    <row r="34" spans="1:8" x14ac:dyDescent="0.2">
      <c r="A34">
        <f>A33</f>
        <v>4.5</v>
      </c>
      <c r="B34">
        <f t="shared" si="0"/>
        <v>3</v>
      </c>
      <c r="C34">
        <f t="shared" ref="C34:C44" si="10">Va*A34-Ha*B34-q_par*dlu/2*(A34-dlu/4)-q_par/2*dlu/2*(A34-2/3*dlu/2)-P_par*($B$34-B34)-P_par*(A34-$A$34)</f>
        <v>7.5</v>
      </c>
      <c r="D34">
        <f t="shared" si="2"/>
        <v>-1.3333333333333333</v>
      </c>
      <c r="E34">
        <f t="shared" si="4"/>
        <v>0.6</v>
      </c>
      <c r="F34">
        <f t="shared" si="5"/>
        <v>-0.79999999999999993</v>
      </c>
      <c r="G34">
        <f t="shared" si="6"/>
        <v>3.86</v>
      </c>
      <c r="H34">
        <f t="shared" si="7"/>
        <v>2.52</v>
      </c>
    </row>
    <row r="35" spans="1:8" x14ac:dyDescent="0.2">
      <c r="A35">
        <f>A33+dlu*0.025</f>
        <v>4.6500000000000004</v>
      </c>
      <c r="B35">
        <f t="shared" si="0"/>
        <v>2.7899999999999996</v>
      </c>
      <c r="C35">
        <f t="shared" si="10"/>
        <v>6.2999999999999767</v>
      </c>
      <c r="D35">
        <f t="shared" si="2"/>
        <v>-1.466666666666667</v>
      </c>
      <c r="E35">
        <f t="shared" si="4"/>
        <v>0.56333682464150969</v>
      </c>
      <c r="F35">
        <f t="shared" si="5"/>
        <v>-0.82622734280754773</v>
      </c>
      <c r="G35">
        <f t="shared" si="6"/>
        <v>4.0947752256333301</v>
      </c>
      <c r="H35">
        <f t="shared" si="7"/>
        <v>2.4114376538409066</v>
      </c>
    </row>
    <row r="36" spans="1:8" x14ac:dyDescent="0.2">
      <c r="A36">
        <f t="shared" ref="A36:A44" si="11">A35+dlu*0.025</f>
        <v>4.8000000000000007</v>
      </c>
      <c r="B36">
        <f t="shared" si="0"/>
        <v>2.5599999999999992</v>
      </c>
      <c r="C36">
        <f t="shared" si="10"/>
        <v>5.1999999999999922</v>
      </c>
      <c r="D36">
        <f t="shared" si="2"/>
        <v>-1.6000000000000005</v>
      </c>
      <c r="E36">
        <f t="shared" si="4"/>
        <v>0.52999894000317993</v>
      </c>
      <c r="F36">
        <f t="shared" si="5"/>
        <v>-0.84799830400508813</v>
      </c>
      <c r="G36">
        <f t="shared" si="6"/>
        <v>4.3296436073785127</v>
      </c>
      <c r="H36">
        <f t="shared" si="7"/>
        <v>2.266027254611569</v>
      </c>
    </row>
    <row r="37" spans="1:8" x14ac:dyDescent="0.2">
      <c r="A37">
        <f t="shared" si="11"/>
        <v>4.9500000000000011</v>
      </c>
      <c r="B37">
        <f t="shared" si="0"/>
        <v>2.3099999999999974</v>
      </c>
      <c r="C37">
        <f t="shared" si="10"/>
        <v>4.1999999999999993</v>
      </c>
      <c r="D37">
        <f t="shared" si="2"/>
        <v>-1.7333333333333343</v>
      </c>
      <c r="E37">
        <f t="shared" si="4"/>
        <v>0.499722453489577</v>
      </c>
      <c r="F37">
        <f t="shared" si="5"/>
        <v>-0.86618558604860063</v>
      </c>
      <c r="G37">
        <f t="shared" si="6"/>
        <v>4.5619488574502283</v>
      </c>
      <c r="H37">
        <f t="shared" si="7"/>
        <v>2.0861243408366668</v>
      </c>
    </row>
    <row r="38" spans="1:8" x14ac:dyDescent="0.2">
      <c r="A38">
        <f t="shared" si="11"/>
        <v>5.1000000000000014</v>
      </c>
      <c r="B38">
        <f t="shared" si="0"/>
        <v>2.0399999999999965</v>
      </c>
      <c r="C38">
        <f t="shared" si="10"/>
        <v>3.300000000000006</v>
      </c>
      <c r="D38">
        <f t="shared" si="2"/>
        <v>-1.8666666666666678</v>
      </c>
      <c r="E38">
        <f t="shared" si="4"/>
        <v>0.47222141251541871</v>
      </c>
      <c r="F38">
        <f t="shared" si="5"/>
        <v>-0.88147997002878209</v>
      </c>
      <c r="G38">
        <f t="shared" si="6"/>
        <v>4.7897190505498699</v>
      </c>
      <c r="H38">
        <f t="shared" si="7"/>
        <v>1.8737780627945688</v>
      </c>
    </row>
    <row r="39" spans="1:8" x14ac:dyDescent="0.2">
      <c r="A39">
        <f t="shared" si="11"/>
        <v>5.2500000000000018</v>
      </c>
      <c r="B39">
        <f t="shared" si="0"/>
        <v>1.7499999999999967</v>
      </c>
      <c r="C39">
        <f t="shared" si="10"/>
        <v>2.4999999999999769</v>
      </c>
      <c r="D39">
        <f t="shared" si="2"/>
        <v>-2.0000000000000013</v>
      </c>
      <c r="E39">
        <f t="shared" si="4"/>
        <v>0.44721359549995776</v>
      </c>
      <c r="F39">
        <f t="shared" si="5"/>
        <v>-0.89442719099991608</v>
      </c>
      <c r="G39">
        <f t="shared" si="6"/>
        <v>5.011486082400026</v>
      </c>
      <c r="H39">
        <f t="shared" si="7"/>
        <v>1.630743041200009</v>
      </c>
    </row>
    <row r="40" spans="1:8" x14ac:dyDescent="0.2">
      <c r="A40">
        <f t="shared" si="11"/>
        <v>5.4000000000000021</v>
      </c>
      <c r="B40">
        <f t="shared" si="0"/>
        <v>1.4399999999999962</v>
      </c>
      <c r="C40">
        <f t="shared" si="10"/>
        <v>1.8000000000000025</v>
      </c>
      <c r="D40">
        <f t="shared" si="2"/>
        <v>-2.1333333333333351</v>
      </c>
      <c r="E40">
        <f t="shared" si="4"/>
        <v>0.42443387623071926</v>
      </c>
      <c r="F40">
        <f t="shared" si="5"/>
        <v>-0.9054589359588685</v>
      </c>
      <c r="G40">
        <f t="shared" si="6"/>
        <v>5.2261518842958994</v>
      </c>
      <c r="H40">
        <f t="shared" si="7"/>
        <v>1.358508695763698</v>
      </c>
    </row>
    <row r="41" spans="1:8" x14ac:dyDescent="0.2">
      <c r="A41">
        <f t="shared" si="11"/>
        <v>5.5500000000000025</v>
      </c>
      <c r="B41">
        <f t="shared" si="0"/>
        <v>1.109999999999993</v>
      </c>
      <c r="C41">
        <f t="shared" si="10"/>
        <v>1.2000000000000206</v>
      </c>
      <c r="D41">
        <f t="shared" si="2"/>
        <v>-2.2666666666666688</v>
      </c>
      <c r="E41">
        <f t="shared" si="4"/>
        <v>0.40364020657629324</v>
      </c>
      <c r="F41">
        <f t="shared" si="5"/>
        <v>-0.91491780157293223</v>
      </c>
      <c r="G41">
        <f t="shared" si="6"/>
        <v>5.4328905213986651</v>
      </c>
      <c r="H41">
        <f t="shared" si="7"/>
        <v>1.0583340535582266</v>
      </c>
    </row>
    <row r="42" spans="1:8" x14ac:dyDescent="0.2">
      <c r="A42">
        <f t="shared" si="11"/>
        <v>5.7000000000000028</v>
      </c>
      <c r="B42">
        <f t="shared" si="0"/>
        <v>0.75999999999999401</v>
      </c>
      <c r="C42">
        <f t="shared" si="10"/>
        <v>0.69999999999997797</v>
      </c>
      <c r="D42">
        <f t="shared" si="2"/>
        <v>-2.4000000000000026</v>
      </c>
      <c r="E42">
        <f t="shared" si="4"/>
        <v>0.38461538461538425</v>
      </c>
      <c r="F42">
        <f t="shared" si="5"/>
        <v>-0.92307692307692324</v>
      </c>
      <c r="G42">
        <f t="shared" si="6"/>
        <v>5.631076923076928</v>
      </c>
      <c r="H42">
        <f t="shared" si="7"/>
        <v>0.73128205128204626</v>
      </c>
    </row>
    <row r="43" spans="1:8" x14ac:dyDescent="0.2">
      <c r="A43">
        <f t="shared" si="11"/>
        <v>5.8500000000000032</v>
      </c>
      <c r="B43">
        <f t="shared" si="0"/>
        <v>0.38999999999999263</v>
      </c>
      <c r="C43">
        <f t="shared" si="10"/>
        <v>0.29999999999999361</v>
      </c>
      <c r="D43">
        <f t="shared" si="2"/>
        <v>-2.5333333333333359</v>
      </c>
      <c r="E43">
        <f t="shared" si="4"/>
        <v>0.36716653473604816</v>
      </c>
      <c r="F43">
        <f t="shared" si="5"/>
        <v>-0.93015522133132289</v>
      </c>
      <c r="G43">
        <f t="shared" si="6"/>
        <v>5.8202350329174015</v>
      </c>
      <c r="H43">
        <f t="shared" si="7"/>
        <v>0.37825067088843933</v>
      </c>
    </row>
    <row r="44" spans="1:8" x14ac:dyDescent="0.2">
      <c r="A44">
        <f t="shared" si="11"/>
        <v>6.0000000000000036</v>
      </c>
      <c r="B44">
        <f t="shared" si="0"/>
        <v>-9.473903143468002E-15</v>
      </c>
      <c r="C44">
        <f t="shared" si="10"/>
        <v>-1.4210854715202004E-14</v>
      </c>
      <c r="D44">
        <f t="shared" si="2"/>
        <v>-2.6666666666666696</v>
      </c>
      <c r="E44">
        <f t="shared" si="4"/>
        <v>0.35112344158839132</v>
      </c>
      <c r="F44">
        <f t="shared" si="5"/>
        <v>-0.93632917756904455</v>
      </c>
      <c r="G44">
        <f t="shared" si="6"/>
        <v>6.0000000000000053</v>
      </c>
      <c r="H44">
        <f t="shared" si="7"/>
        <v>-8.9416616271464723E-15</v>
      </c>
    </row>
    <row r="46" spans="1:8" x14ac:dyDescent="0.2">
      <c r="A46">
        <f>MAX(A2:A44)</f>
        <v>6.0000000000000036</v>
      </c>
      <c r="B46">
        <f>MAX(B2:B44)</f>
        <v>3.9999999999999991</v>
      </c>
      <c r="C46">
        <f>MAX(MAX(C2:C44),-MIN(C2:C44))</f>
        <v>7.5</v>
      </c>
      <c r="G46">
        <f>MAX(G2:G44,A46)</f>
        <v>6.0000000000000053</v>
      </c>
      <c r="H46">
        <f>MAX(H2:H44,B46)</f>
        <v>4.0534385856436899</v>
      </c>
    </row>
    <row r="47" spans="1:8" x14ac:dyDescent="0.2">
      <c r="A47">
        <f>MIN(A2:A44)</f>
        <v>0</v>
      </c>
      <c r="B47">
        <f>MIN(B2:B44)</f>
        <v>-9.473903143468002E-15</v>
      </c>
      <c r="C47">
        <f>0.2*MIN(dlu,f)/C46</f>
        <v>0.10666666666666667</v>
      </c>
      <c r="G47">
        <f>MIN(G2:G44,A47)</f>
        <v>0</v>
      </c>
      <c r="H47">
        <f>MIN(H2:H44,B47)</f>
        <v>-9.473903143468002E-15</v>
      </c>
    </row>
    <row r="48" spans="1:8" x14ac:dyDescent="0.2">
      <c r="G48">
        <v>1</v>
      </c>
      <c r="H48">
        <v>1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48"/>
  <sheetViews>
    <sheetView workbookViewId="0">
      <selection activeCell="A35" sqref="A35"/>
    </sheetView>
  </sheetViews>
  <sheetFormatPr defaultRowHeight="12.75" x14ac:dyDescent="0.2"/>
  <sheetData>
    <row r="1" spans="1:10" x14ac:dyDescent="0.2">
      <c r="A1" t="s">
        <v>11</v>
      </c>
      <c r="B1" t="s">
        <v>12</v>
      </c>
      <c r="C1" t="s">
        <v>8</v>
      </c>
      <c r="D1" t="s">
        <v>36</v>
      </c>
      <c r="E1" t="s">
        <v>37</v>
      </c>
      <c r="F1" t="s">
        <v>35</v>
      </c>
      <c r="G1" t="s">
        <v>29</v>
      </c>
      <c r="H1" t="s">
        <v>30</v>
      </c>
      <c r="I1" t="s">
        <v>33</v>
      </c>
    </row>
    <row r="2" spans="1:10" x14ac:dyDescent="0.2">
      <c r="A2">
        <v>0</v>
      </c>
      <c r="B2">
        <f t="shared" ref="B2:B44" si="0">-4*f/dlu^2*(A2^2-A2*dlu)</f>
        <v>0</v>
      </c>
      <c r="C2">
        <f t="shared" ref="C2:C22" si="1">(Va-q_par*A2-q_par/dlu*2*A2^2/2)*E2-Ha*F2</f>
        <v>0</v>
      </c>
      <c r="D2">
        <f t="shared" ref="D2:D44" si="2">-4*f/dlu^2*(2*A2-dlu)</f>
        <v>2.6666666666666665</v>
      </c>
      <c r="E2">
        <f>1/(1+D2^2)^0.5</f>
        <v>0.3511234415883917</v>
      </c>
      <c r="F2">
        <f>D2*E2</f>
        <v>0.93632917756904455</v>
      </c>
      <c r="G2">
        <f>A2-$C$47*C2*F2</f>
        <v>0</v>
      </c>
      <c r="H2">
        <f>B2+$C$47*C2*E2</f>
        <v>0</v>
      </c>
      <c r="I2">
        <f>CEILING(G46+0.1*(G46-G47),0.1)</f>
        <v>6.6000000000000005</v>
      </c>
      <c r="J2">
        <f>CEILING(H46+0.1*(H46-H47),0.1)</f>
        <v>4.5</v>
      </c>
    </row>
    <row r="3" spans="1:10" x14ac:dyDescent="0.2">
      <c r="A3">
        <f t="shared" ref="A3:A22" si="3">A2+dlu*0.025</f>
        <v>0.15000000000000002</v>
      </c>
      <c r="B3">
        <f t="shared" si="0"/>
        <v>0.39000000000000007</v>
      </c>
      <c r="C3">
        <f t="shared" si="1"/>
        <v>0.16981452231542171</v>
      </c>
      <c r="D3">
        <f t="shared" si="2"/>
        <v>2.5333333333333332</v>
      </c>
      <c r="E3">
        <f t="shared" ref="E3:E44" si="4">1/(1+D3^2)^0.5</f>
        <v>0.36716653473604849</v>
      </c>
      <c r="F3">
        <f t="shared" ref="F3:F44" si="5">D3*E3</f>
        <v>0.93015522133132278</v>
      </c>
      <c r="G3">
        <f t="shared" ref="G3:G44" si="6">A3-$C$47*C3*F3</f>
        <v>0.13595965648092678</v>
      </c>
      <c r="H3">
        <f t="shared" ref="H3:H44" si="7">B3+$C$47*C3*E3</f>
        <v>0.39554224086279216</v>
      </c>
      <c r="I3">
        <f>CEILING(G47-0.1*(G46-G47),-1)</f>
        <v>-1</v>
      </c>
      <c r="J3">
        <f>CEILING(H47-0.1*(H46-H47),-1)</f>
        <v>-1</v>
      </c>
    </row>
    <row r="4" spans="1:10" x14ac:dyDescent="0.2">
      <c r="A4">
        <f t="shared" si="3"/>
        <v>0.30000000000000004</v>
      </c>
      <c r="B4">
        <f t="shared" si="0"/>
        <v>0.76</v>
      </c>
      <c r="C4">
        <f t="shared" si="1"/>
        <v>0.32692307692307843</v>
      </c>
      <c r="D4">
        <f t="shared" si="2"/>
        <v>2.4</v>
      </c>
      <c r="E4">
        <f t="shared" si="4"/>
        <v>0.38461538461538458</v>
      </c>
      <c r="F4">
        <f t="shared" si="5"/>
        <v>0.92307692307692291</v>
      </c>
      <c r="G4">
        <f t="shared" si="6"/>
        <v>0.27317554240631153</v>
      </c>
      <c r="H4">
        <f t="shared" si="7"/>
        <v>0.77117685733070351</v>
      </c>
      <c r="I4">
        <v>1</v>
      </c>
      <c r="J4">
        <v>1</v>
      </c>
    </row>
    <row r="5" spans="1:10" x14ac:dyDescent="0.2">
      <c r="A5">
        <f t="shared" si="3"/>
        <v>0.45000000000000007</v>
      </c>
      <c r="B5">
        <f t="shared" si="0"/>
        <v>1.1099999999999999</v>
      </c>
      <c r="C5">
        <f t="shared" si="1"/>
        <v>0.46923174014494506</v>
      </c>
      <c r="D5">
        <f t="shared" si="2"/>
        <v>2.2666666666666662</v>
      </c>
      <c r="E5">
        <f t="shared" si="4"/>
        <v>0.40364020657629363</v>
      </c>
      <c r="F5">
        <f t="shared" si="5"/>
        <v>0.91491780157293201</v>
      </c>
      <c r="G5">
        <f t="shared" si="6"/>
        <v>0.41183924692251966</v>
      </c>
      <c r="H5">
        <f t="shared" si="7"/>
        <v>1.1268356263577117</v>
      </c>
    </row>
    <row r="6" spans="1:10" x14ac:dyDescent="0.2">
      <c r="A6">
        <f t="shared" si="3"/>
        <v>0.60000000000000009</v>
      </c>
      <c r="B6">
        <f t="shared" si="0"/>
        <v>1.44</v>
      </c>
      <c r="C6">
        <f t="shared" si="1"/>
        <v>0.59420742672300619</v>
      </c>
      <c r="D6">
        <f t="shared" si="2"/>
        <v>2.1333333333333333</v>
      </c>
      <c r="E6">
        <f t="shared" si="4"/>
        <v>0.4244338762307196</v>
      </c>
      <c r="F6">
        <f t="shared" si="5"/>
        <v>0.9054589359588685</v>
      </c>
      <c r="G6">
        <f t="shared" si="6"/>
        <v>0.55217507339204719</v>
      </c>
      <c r="H6">
        <f t="shared" si="7"/>
        <v>1.4624179343474779</v>
      </c>
    </row>
    <row r="7" spans="1:10" x14ac:dyDescent="0.2">
      <c r="A7">
        <f t="shared" si="3"/>
        <v>0.75000000000000011</v>
      </c>
      <c r="B7">
        <f t="shared" si="0"/>
        <v>1.7500000000000002</v>
      </c>
      <c r="C7">
        <f t="shared" si="1"/>
        <v>0.69877124296868587</v>
      </c>
      <c r="D7">
        <f t="shared" si="2"/>
        <v>2</v>
      </c>
      <c r="E7">
        <f t="shared" si="4"/>
        <v>0.44721359549995793</v>
      </c>
      <c r="F7">
        <f t="shared" si="5"/>
        <v>0.89442719099991586</v>
      </c>
      <c r="G7">
        <f t="shared" si="6"/>
        <v>0.69444444444444442</v>
      </c>
      <c r="H7">
        <f t="shared" si="7"/>
        <v>1.7777777777777781</v>
      </c>
    </row>
    <row r="8" spans="1:10" x14ac:dyDescent="0.2">
      <c r="A8">
        <f t="shared" si="3"/>
        <v>0.90000000000000013</v>
      </c>
      <c r="B8">
        <f t="shared" si="0"/>
        <v>2.04</v>
      </c>
      <c r="C8">
        <f t="shared" si="1"/>
        <v>0.77916533065044469</v>
      </c>
      <c r="D8">
        <f t="shared" si="2"/>
        <v>1.8666666666666663</v>
      </c>
      <c r="E8">
        <f t="shared" si="4"/>
        <v>0.47222141251541905</v>
      </c>
      <c r="F8">
        <f t="shared" si="5"/>
        <v>0.88147997002878198</v>
      </c>
      <c r="G8">
        <f t="shared" si="6"/>
        <v>0.83894945490584727</v>
      </c>
      <c r="H8">
        <f t="shared" si="7"/>
        <v>2.0727056491575819</v>
      </c>
    </row>
    <row r="9" spans="1:10" x14ac:dyDescent="0.2">
      <c r="A9">
        <f t="shared" si="3"/>
        <v>1.0500000000000003</v>
      </c>
      <c r="B9">
        <f t="shared" si="0"/>
        <v>2.3100000000000005</v>
      </c>
      <c r="C9">
        <f t="shared" si="1"/>
        <v>0.83078857892642155</v>
      </c>
      <c r="D9">
        <f t="shared" si="2"/>
        <v>1.7333333333333329</v>
      </c>
      <c r="E9">
        <f t="shared" si="4"/>
        <v>0.49972245348957722</v>
      </c>
      <c r="F9">
        <f t="shared" si="5"/>
        <v>0.8661855860486003</v>
      </c>
      <c r="G9">
        <f t="shared" si="6"/>
        <v>0.98603403625601216</v>
      </c>
      <c r="H9">
        <f t="shared" si="7"/>
        <v>2.3469034406215323</v>
      </c>
    </row>
    <row r="10" spans="1:10" x14ac:dyDescent="0.2">
      <c r="A10">
        <f t="shared" si="3"/>
        <v>1.2000000000000002</v>
      </c>
      <c r="B10">
        <f t="shared" si="0"/>
        <v>2.56</v>
      </c>
      <c r="C10">
        <f t="shared" si="1"/>
        <v>0.84799830400509002</v>
      </c>
      <c r="D10">
        <f t="shared" si="2"/>
        <v>1.5999999999999996</v>
      </c>
      <c r="E10">
        <f t="shared" si="4"/>
        <v>0.52999894000318004</v>
      </c>
      <c r="F10">
        <f t="shared" si="5"/>
        <v>0.84799830400508791</v>
      </c>
      <c r="G10">
        <f t="shared" si="6"/>
        <v>1.1360799001248441</v>
      </c>
      <c r="H10">
        <f t="shared" si="7"/>
        <v>2.5999500624219727</v>
      </c>
    </row>
    <row r="11" spans="1:10" x14ac:dyDescent="0.2">
      <c r="A11">
        <f t="shared" si="3"/>
        <v>1.35</v>
      </c>
      <c r="B11">
        <f t="shared" si="0"/>
        <v>2.7900000000000005</v>
      </c>
      <c r="C11">
        <f t="shared" si="1"/>
        <v>0.82388010603820838</v>
      </c>
      <c r="D11">
        <f t="shared" si="2"/>
        <v>1.4666666666666666</v>
      </c>
      <c r="E11">
        <f t="shared" si="4"/>
        <v>0.5633368246415098</v>
      </c>
      <c r="F11">
        <f t="shared" si="5"/>
        <v>0.82622734280754762</v>
      </c>
      <c r="G11">
        <f t="shared" si="6"/>
        <v>1.2894922425952047</v>
      </c>
      <c r="H11">
        <f t="shared" si="7"/>
        <v>2.8312552891396336</v>
      </c>
    </row>
    <row r="12" spans="1:10" x14ac:dyDescent="0.2">
      <c r="A12">
        <f t="shared" si="3"/>
        <v>1.5</v>
      </c>
      <c r="B12">
        <f t="shared" si="0"/>
        <v>3</v>
      </c>
      <c r="C12">
        <f t="shared" si="1"/>
        <v>0.75000000000000178</v>
      </c>
      <c r="D12">
        <f t="shared" si="2"/>
        <v>1.3333333333333333</v>
      </c>
      <c r="E12">
        <f t="shared" si="4"/>
        <v>0.6</v>
      </c>
      <c r="F12">
        <f t="shared" si="5"/>
        <v>0.79999999999999993</v>
      </c>
      <c r="G12">
        <f t="shared" si="6"/>
        <v>1.4466666666666665</v>
      </c>
      <c r="H12">
        <f t="shared" si="7"/>
        <v>3.04</v>
      </c>
    </row>
    <row r="13" spans="1:10" x14ac:dyDescent="0.2">
      <c r="A13">
        <f t="shared" si="3"/>
        <v>1.65</v>
      </c>
      <c r="B13">
        <f t="shared" si="0"/>
        <v>3.1899999999999991</v>
      </c>
      <c r="C13">
        <f t="shared" si="1"/>
        <v>0.61617748467706157</v>
      </c>
      <c r="D13">
        <f t="shared" si="2"/>
        <v>1.2</v>
      </c>
      <c r="E13">
        <f t="shared" si="4"/>
        <v>0.64018439966447993</v>
      </c>
      <c r="F13">
        <f t="shared" si="5"/>
        <v>0.76822127959737585</v>
      </c>
      <c r="G13">
        <f t="shared" si="6"/>
        <v>1.6079234972677594</v>
      </c>
      <c r="H13">
        <f t="shared" si="7"/>
        <v>3.2250637522768661</v>
      </c>
    </row>
    <row r="14" spans="1:10" x14ac:dyDescent="0.2">
      <c r="A14">
        <f t="shared" si="3"/>
        <v>1.7999999999999998</v>
      </c>
      <c r="B14">
        <f t="shared" si="0"/>
        <v>3.3599999999999994</v>
      </c>
      <c r="C14">
        <f t="shared" si="1"/>
        <v>0.410364677328797</v>
      </c>
      <c r="D14">
        <f t="shared" si="2"/>
        <v>1.0666666666666669</v>
      </c>
      <c r="E14">
        <f t="shared" si="4"/>
        <v>0.68394112888132985</v>
      </c>
      <c r="F14">
        <f t="shared" si="5"/>
        <v>0.72953720414008527</v>
      </c>
      <c r="G14">
        <f t="shared" si="6"/>
        <v>1.7733887733887732</v>
      </c>
      <c r="H14">
        <f t="shared" si="7"/>
        <v>3.3849480249480242</v>
      </c>
    </row>
    <row r="15" spans="1:10" x14ac:dyDescent="0.2">
      <c r="A15">
        <f t="shared" si="3"/>
        <v>1.9499999999999997</v>
      </c>
      <c r="B15">
        <f t="shared" si="0"/>
        <v>3.5100000000000002</v>
      </c>
      <c r="C15">
        <f t="shared" si="1"/>
        <v>0.11879648108946661</v>
      </c>
      <c r="D15">
        <f t="shared" si="2"/>
        <v>0.93333333333333357</v>
      </c>
      <c r="E15">
        <f t="shared" si="4"/>
        <v>0.73105526824286893</v>
      </c>
      <c r="F15">
        <f t="shared" si="5"/>
        <v>0.68231825036001115</v>
      </c>
      <c r="G15">
        <f t="shared" si="6"/>
        <v>1.9427949326999205</v>
      </c>
      <c r="H15">
        <f t="shared" si="7"/>
        <v>3.5177197149643709</v>
      </c>
    </row>
    <row r="16" spans="1:10" x14ac:dyDescent="0.2">
      <c r="A16">
        <f t="shared" si="3"/>
        <v>2.0999999999999996</v>
      </c>
      <c r="B16">
        <f t="shared" si="0"/>
        <v>3.6399999999999997</v>
      </c>
      <c r="C16">
        <f t="shared" si="1"/>
        <v>-0.2733040833050584</v>
      </c>
      <c r="D16">
        <f t="shared" si="2"/>
        <v>0.80000000000000027</v>
      </c>
      <c r="E16">
        <f t="shared" si="4"/>
        <v>0.78086880944303017</v>
      </c>
      <c r="F16">
        <f t="shared" si="5"/>
        <v>0.62469504755442429</v>
      </c>
      <c r="G16">
        <f t="shared" si="6"/>
        <v>2.1151761517615171</v>
      </c>
      <c r="H16">
        <f t="shared" si="7"/>
        <v>3.6210298102981029</v>
      </c>
    </row>
    <row r="17" spans="1:8" x14ac:dyDescent="0.2">
      <c r="A17">
        <f t="shared" si="3"/>
        <v>2.2499999999999996</v>
      </c>
      <c r="B17">
        <f t="shared" si="0"/>
        <v>3.7499999999999991</v>
      </c>
      <c r="C17">
        <f t="shared" si="1"/>
        <v>-0.78004715094172816</v>
      </c>
      <c r="D17">
        <f t="shared" si="2"/>
        <v>0.66666666666666707</v>
      </c>
      <c r="E17">
        <f t="shared" si="4"/>
        <v>0.8320502943378435</v>
      </c>
      <c r="F17">
        <f t="shared" si="5"/>
        <v>0.55470019622522937</v>
      </c>
      <c r="G17">
        <f t="shared" si="6"/>
        <v>2.2884615384615379</v>
      </c>
      <c r="H17">
        <f t="shared" si="7"/>
        <v>3.6923076923076916</v>
      </c>
    </row>
    <row r="18" spans="1:8" x14ac:dyDescent="0.2">
      <c r="A18">
        <f t="shared" si="3"/>
        <v>2.3999999999999995</v>
      </c>
      <c r="B18">
        <f t="shared" si="0"/>
        <v>3.84</v>
      </c>
      <c r="C18">
        <f t="shared" si="1"/>
        <v>-1.4117647058823488</v>
      </c>
      <c r="D18">
        <f t="shared" si="2"/>
        <v>0.53333333333333377</v>
      </c>
      <c r="E18">
        <f t="shared" si="4"/>
        <v>0.88235294117647045</v>
      </c>
      <c r="F18">
        <f t="shared" si="5"/>
        <v>0.47058823529411797</v>
      </c>
      <c r="G18">
        <f t="shared" si="6"/>
        <v>2.4590542099192612</v>
      </c>
      <c r="H18">
        <f t="shared" si="7"/>
        <v>3.7292733564013845</v>
      </c>
    </row>
    <row r="19" spans="1:8" x14ac:dyDescent="0.2">
      <c r="A19">
        <f t="shared" si="3"/>
        <v>2.5499999999999994</v>
      </c>
      <c r="B19">
        <f t="shared" si="0"/>
        <v>3.9099999999999997</v>
      </c>
      <c r="C19">
        <f t="shared" si="1"/>
        <v>-2.1703142649442895</v>
      </c>
      <c r="D19">
        <f t="shared" si="2"/>
        <v>0.40000000000000052</v>
      </c>
      <c r="E19">
        <f t="shared" si="4"/>
        <v>0.92847669088525919</v>
      </c>
      <c r="F19">
        <f t="shared" si="5"/>
        <v>0.37139067635410417</v>
      </c>
      <c r="G19">
        <f t="shared" si="6"/>
        <v>2.6216475095785432</v>
      </c>
      <c r="H19">
        <f t="shared" si="7"/>
        <v>3.7308812260536399</v>
      </c>
    </row>
    <row r="20" spans="1:8" x14ac:dyDescent="0.2">
      <c r="A20">
        <f t="shared" si="3"/>
        <v>2.6999999999999993</v>
      </c>
      <c r="B20">
        <f t="shared" si="0"/>
        <v>3.96</v>
      </c>
      <c r="C20">
        <f t="shared" si="1"/>
        <v>-3.0436400597439226</v>
      </c>
      <c r="D20">
        <f t="shared" si="2"/>
        <v>0.26666666666666727</v>
      </c>
      <c r="E20">
        <f t="shared" si="4"/>
        <v>0.96623493960124607</v>
      </c>
      <c r="F20">
        <f t="shared" si="5"/>
        <v>0.25766265056033288</v>
      </c>
      <c r="G20">
        <f t="shared" si="6"/>
        <v>2.7697095435684642</v>
      </c>
      <c r="H20">
        <f t="shared" si="7"/>
        <v>3.6985892116182577</v>
      </c>
    </row>
    <row r="21" spans="1:8" x14ac:dyDescent="0.2">
      <c r="A21">
        <f t="shared" si="3"/>
        <v>2.8499999999999992</v>
      </c>
      <c r="B21">
        <f t="shared" si="0"/>
        <v>3.9899999999999993</v>
      </c>
      <c r="C21">
        <f t="shared" si="1"/>
        <v>-4.002082649006133</v>
      </c>
      <c r="D21">
        <f t="shared" si="2"/>
        <v>0.13333333333333403</v>
      </c>
      <c r="E21">
        <f t="shared" si="4"/>
        <v>0.99122790068263456</v>
      </c>
      <c r="F21">
        <f t="shared" si="5"/>
        <v>0.13216372009101862</v>
      </c>
      <c r="G21">
        <f t="shared" si="6"/>
        <v>2.897016011644832</v>
      </c>
      <c r="H21">
        <f t="shared" si="7"/>
        <v>3.6373799126637554</v>
      </c>
    </row>
    <row r="22" spans="1:8" x14ac:dyDescent="0.2">
      <c r="A22">
        <f t="shared" si="3"/>
        <v>2.9999999999999991</v>
      </c>
      <c r="B22">
        <f t="shared" si="0"/>
        <v>3.9999999999999991</v>
      </c>
      <c r="C22">
        <f t="shared" si="1"/>
        <v>-4.9999999999999956</v>
      </c>
      <c r="D22">
        <f t="shared" si="2"/>
        <v>7.894919286223335E-16</v>
      </c>
      <c r="E22">
        <f t="shared" si="4"/>
        <v>1</v>
      </c>
      <c r="F22">
        <f t="shared" si="5"/>
        <v>7.894919286223335E-16</v>
      </c>
      <c r="G22">
        <f t="shared" si="6"/>
        <v>2.9999999999999996</v>
      </c>
      <c r="H22">
        <f t="shared" si="7"/>
        <v>3.5555555555555549</v>
      </c>
    </row>
    <row r="23" spans="1:8" x14ac:dyDescent="0.2">
      <c r="A23">
        <f>A22</f>
        <v>2.9999999999999991</v>
      </c>
      <c r="B23">
        <f t="shared" si="0"/>
        <v>3.9999999999999991</v>
      </c>
      <c r="C23">
        <f t="shared" ref="C23:C33" si="8">(Va-1.5*q_par*dlu/2)*E23-Ha*F23</f>
        <v>-5.0000000000000115</v>
      </c>
      <c r="D23">
        <f t="shared" si="2"/>
        <v>7.894919286223335E-16</v>
      </c>
      <c r="E23">
        <f t="shared" si="4"/>
        <v>1</v>
      </c>
      <c r="F23">
        <f t="shared" si="5"/>
        <v>7.894919286223335E-16</v>
      </c>
      <c r="G23">
        <f t="shared" si="6"/>
        <v>2.9999999999999996</v>
      </c>
      <c r="H23">
        <f t="shared" si="7"/>
        <v>3.5555555555555536</v>
      </c>
    </row>
    <row r="24" spans="1:8" x14ac:dyDescent="0.2">
      <c r="A24">
        <f>A22+dlu*0.025</f>
        <v>3.149999999999999</v>
      </c>
      <c r="B24">
        <f t="shared" si="0"/>
        <v>3.99</v>
      </c>
      <c r="C24">
        <f t="shared" si="8"/>
        <v>-2.973683702047917</v>
      </c>
      <c r="D24">
        <f t="shared" si="2"/>
        <v>-0.13333333333333247</v>
      </c>
      <c r="E24">
        <f t="shared" si="4"/>
        <v>0.99122790068263478</v>
      </c>
      <c r="F24">
        <f t="shared" si="5"/>
        <v>-0.13216372009101712</v>
      </c>
      <c r="G24">
        <f t="shared" si="6"/>
        <v>3.1150655021834051</v>
      </c>
      <c r="H24">
        <f t="shared" si="7"/>
        <v>3.727991266375545</v>
      </c>
    </row>
    <row r="25" spans="1:8" x14ac:dyDescent="0.2">
      <c r="A25">
        <f t="shared" ref="A25:A33" si="9">A24+dlu*0.025</f>
        <v>3.2999999999999989</v>
      </c>
      <c r="B25">
        <f t="shared" si="0"/>
        <v>3.96</v>
      </c>
      <c r="C25">
        <f t="shared" si="8"/>
        <v>-0.96623493960125995</v>
      </c>
      <c r="D25">
        <f t="shared" si="2"/>
        <v>-0.26666666666666572</v>
      </c>
      <c r="E25">
        <f t="shared" si="4"/>
        <v>0.96623493960124651</v>
      </c>
      <c r="F25">
        <f t="shared" si="5"/>
        <v>-0.2576626505603315</v>
      </c>
      <c r="G25">
        <f t="shared" si="6"/>
        <v>3.2778699861687399</v>
      </c>
      <c r="H25">
        <f t="shared" si="7"/>
        <v>3.877012448132779</v>
      </c>
    </row>
    <row r="26" spans="1:8" x14ac:dyDescent="0.2">
      <c r="A26">
        <f t="shared" si="9"/>
        <v>3.4499999999999988</v>
      </c>
      <c r="B26">
        <f t="shared" si="0"/>
        <v>3.9099999999999997</v>
      </c>
      <c r="C26">
        <f t="shared" si="8"/>
        <v>0.92847669088524398</v>
      </c>
      <c r="D26">
        <f t="shared" si="2"/>
        <v>-0.39999999999999897</v>
      </c>
      <c r="E26">
        <f t="shared" si="4"/>
        <v>0.92847669088525953</v>
      </c>
      <c r="F26">
        <f t="shared" si="5"/>
        <v>-0.37139067635410283</v>
      </c>
      <c r="G26">
        <f t="shared" si="6"/>
        <v>3.4806513409961668</v>
      </c>
      <c r="H26">
        <f t="shared" si="7"/>
        <v>3.98662835249042</v>
      </c>
    </row>
    <row r="27" spans="1:8" x14ac:dyDescent="0.2">
      <c r="A27">
        <f t="shared" si="9"/>
        <v>3.5999999999999988</v>
      </c>
      <c r="B27">
        <f t="shared" si="0"/>
        <v>3.8400000000000016</v>
      </c>
      <c r="C27">
        <f t="shared" si="8"/>
        <v>2.6470588235293979</v>
      </c>
      <c r="D27">
        <f t="shared" si="2"/>
        <v>-0.53333333333333222</v>
      </c>
      <c r="E27">
        <f t="shared" si="4"/>
        <v>0.88235294117647101</v>
      </c>
      <c r="F27">
        <f t="shared" si="5"/>
        <v>-0.47058823529411686</v>
      </c>
      <c r="G27">
        <f t="shared" si="6"/>
        <v>3.7107266435986137</v>
      </c>
      <c r="H27">
        <f t="shared" si="7"/>
        <v>4.0476124567474052</v>
      </c>
    </row>
    <row r="28" spans="1:8" x14ac:dyDescent="0.2">
      <c r="A28">
        <f t="shared" si="9"/>
        <v>3.7499999999999987</v>
      </c>
      <c r="B28">
        <f t="shared" si="0"/>
        <v>3.7500000000000013</v>
      </c>
      <c r="C28">
        <f t="shared" si="8"/>
        <v>4.1602514716892047</v>
      </c>
      <c r="D28">
        <f t="shared" si="2"/>
        <v>-0.66666666666666541</v>
      </c>
      <c r="E28">
        <f t="shared" si="4"/>
        <v>0.83205029433784417</v>
      </c>
      <c r="F28">
        <f t="shared" si="5"/>
        <v>-0.55470019622522837</v>
      </c>
      <c r="G28">
        <f t="shared" si="6"/>
        <v>3.9551282051282031</v>
      </c>
      <c r="H28">
        <f t="shared" si="7"/>
        <v>4.0576923076923084</v>
      </c>
    </row>
    <row r="29" spans="1:8" x14ac:dyDescent="0.2">
      <c r="A29">
        <f t="shared" si="9"/>
        <v>3.8999999999999986</v>
      </c>
      <c r="B29">
        <f t="shared" si="0"/>
        <v>3.640000000000001</v>
      </c>
      <c r="C29">
        <f t="shared" si="8"/>
        <v>5.4660816661011999</v>
      </c>
      <c r="D29">
        <f t="shared" si="2"/>
        <v>-0.79999999999999871</v>
      </c>
      <c r="E29">
        <f t="shared" si="4"/>
        <v>0.78086880944303083</v>
      </c>
      <c r="F29">
        <f t="shared" si="5"/>
        <v>-0.62469504755442362</v>
      </c>
      <c r="G29">
        <f t="shared" si="6"/>
        <v>4.2035230352303499</v>
      </c>
      <c r="H29">
        <f t="shared" si="7"/>
        <v>4.0194037940379408</v>
      </c>
    </row>
    <row r="30" spans="1:8" x14ac:dyDescent="0.2">
      <c r="A30">
        <f t="shared" si="9"/>
        <v>4.0499999999999989</v>
      </c>
      <c r="B30">
        <f t="shared" si="0"/>
        <v>3.5100000000000002</v>
      </c>
      <c r="C30">
        <f t="shared" si="8"/>
        <v>6.5794974141858154</v>
      </c>
      <c r="D30">
        <f t="shared" si="2"/>
        <v>-0.93333333333333235</v>
      </c>
      <c r="E30">
        <f t="shared" si="4"/>
        <v>0.73105526824286948</v>
      </c>
      <c r="F30">
        <f t="shared" si="5"/>
        <v>-0.68231825036001081</v>
      </c>
      <c r="G30">
        <f t="shared" si="6"/>
        <v>4.4490498812351529</v>
      </c>
      <c r="H30">
        <f t="shared" si="7"/>
        <v>3.9375534441805229</v>
      </c>
    </row>
    <row r="31" spans="1:8" x14ac:dyDescent="0.2">
      <c r="A31">
        <f t="shared" si="9"/>
        <v>4.1999999999999993</v>
      </c>
      <c r="B31">
        <f t="shared" si="0"/>
        <v>3.3600000000000008</v>
      </c>
      <c r="C31">
        <f t="shared" si="8"/>
        <v>7.5233524176946229</v>
      </c>
      <c r="D31">
        <f t="shared" si="2"/>
        <v>-1.066666666666666</v>
      </c>
      <c r="E31">
        <f t="shared" si="4"/>
        <v>0.68394112888132996</v>
      </c>
      <c r="F31">
        <f t="shared" si="5"/>
        <v>-0.72953720414008483</v>
      </c>
      <c r="G31">
        <f t="shared" si="6"/>
        <v>4.6878724878724869</v>
      </c>
      <c r="H31">
        <f t="shared" si="7"/>
        <v>3.8173804573804579</v>
      </c>
    </row>
    <row r="32" spans="1:8" x14ac:dyDescent="0.2">
      <c r="A32">
        <f t="shared" si="9"/>
        <v>4.3499999999999996</v>
      </c>
      <c r="B32">
        <f t="shared" si="0"/>
        <v>3.1900000000000008</v>
      </c>
      <c r="C32">
        <f t="shared" si="8"/>
        <v>8.3223971956382368</v>
      </c>
      <c r="D32">
        <f t="shared" si="2"/>
        <v>-1.1999999999999995</v>
      </c>
      <c r="E32">
        <f t="shared" si="4"/>
        <v>0.64018439966448004</v>
      </c>
      <c r="F32">
        <f t="shared" si="5"/>
        <v>-0.76822127959737574</v>
      </c>
      <c r="G32">
        <f t="shared" si="6"/>
        <v>4.9183060109289611</v>
      </c>
      <c r="H32">
        <f t="shared" si="7"/>
        <v>3.6635883424408027</v>
      </c>
    </row>
    <row r="33" spans="1:8" x14ac:dyDescent="0.2">
      <c r="A33">
        <f t="shared" si="9"/>
        <v>4.5</v>
      </c>
      <c r="B33">
        <f t="shared" si="0"/>
        <v>3</v>
      </c>
      <c r="C33">
        <f t="shared" si="8"/>
        <v>8.9999999999999982</v>
      </c>
      <c r="D33">
        <f t="shared" si="2"/>
        <v>-1.3333333333333333</v>
      </c>
      <c r="E33">
        <f t="shared" si="4"/>
        <v>0.6</v>
      </c>
      <c r="F33">
        <f t="shared" si="5"/>
        <v>-0.79999999999999993</v>
      </c>
      <c r="G33">
        <f t="shared" si="6"/>
        <v>5.14</v>
      </c>
      <c r="H33">
        <f t="shared" si="7"/>
        <v>3.48</v>
      </c>
    </row>
    <row r="34" spans="1:8" x14ac:dyDescent="0.2">
      <c r="A34">
        <f>A33</f>
        <v>4.5</v>
      </c>
      <c r="B34">
        <f t="shared" si="0"/>
        <v>3</v>
      </c>
      <c r="C34">
        <f t="shared" ref="C34:C44" si="10">(Va-1.5*q_par*dlu/2-P_par)*E34-(Ha-P_par)*F34</f>
        <v>-5</v>
      </c>
      <c r="D34">
        <f t="shared" si="2"/>
        <v>-1.3333333333333333</v>
      </c>
      <c r="E34">
        <f t="shared" si="4"/>
        <v>0.6</v>
      </c>
      <c r="F34">
        <f t="shared" si="5"/>
        <v>-0.79999999999999993</v>
      </c>
      <c r="G34">
        <f t="shared" si="6"/>
        <v>4.1444444444444448</v>
      </c>
      <c r="H34">
        <f t="shared" si="7"/>
        <v>2.7333333333333334</v>
      </c>
    </row>
    <row r="35" spans="1:8" x14ac:dyDescent="0.2">
      <c r="A35">
        <f>A33+dlu*0.025</f>
        <v>4.6500000000000004</v>
      </c>
      <c r="B35">
        <f t="shared" si="0"/>
        <v>2.7899999999999996</v>
      </c>
      <c r="C35">
        <f t="shared" si="10"/>
        <v>-4.318915655584906</v>
      </c>
      <c r="D35">
        <f t="shared" si="2"/>
        <v>-1.466666666666667</v>
      </c>
      <c r="E35">
        <f t="shared" si="4"/>
        <v>0.56333682464150969</v>
      </c>
      <c r="F35">
        <f t="shared" si="5"/>
        <v>-0.82622734280754773</v>
      </c>
      <c r="G35">
        <f t="shared" si="6"/>
        <v>4.3328083372512154</v>
      </c>
      <c r="H35">
        <f t="shared" si="7"/>
        <v>2.5737329572167367</v>
      </c>
    </row>
    <row r="36" spans="1:8" x14ac:dyDescent="0.2">
      <c r="A36">
        <f t="shared" ref="A36:A44" si="11">A35+dlu*0.025</f>
        <v>4.8000000000000007</v>
      </c>
      <c r="B36">
        <f t="shared" si="0"/>
        <v>2.5599999999999992</v>
      </c>
      <c r="C36">
        <f t="shared" si="10"/>
        <v>-3.7099925800222584</v>
      </c>
      <c r="D36">
        <f t="shared" si="2"/>
        <v>-1.6000000000000005</v>
      </c>
      <c r="E36">
        <f t="shared" si="4"/>
        <v>0.52999894000317993</v>
      </c>
      <c r="F36">
        <f t="shared" si="5"/>
        <v>-0.84799830400508813</v>
      </c>
      <c r="G36">
        <f t="shared" si="6"/>
        <v>4.5203495630461932</v>
      </c>
      <c r="H36">
        <f t="shared" si="7"/>
        <v>2.3852184769038693</v>
      </c>
    </row>
    <row r="37" spans="1:8" x14ac:dyDescent="0.2">
      <c r="A37">
        <f t="shared" si="11"/>
        <v>4.9500000000000011</v>
      </c>
      <c r="B37">
        <f t="shared" si="0"/>
        <v>2.3099999999999974</v>
      </c>
      <c r="C37">
        <f t="shared" si="10"/>
        <v>-3.1649088721006517</v>
      </c>
      <c r="D37">
        <f t="shared" si="2"/>
        <v>-1.7333333333333343</v>
      </c>
      <c r="E37">
        <f t="shared" si="4"/>
        <v>0.499722453489577</v>
      </c>
      <c r="F37">
        <f t="shared" si="5"/>
        <v>-0.86618558604860063</v>
      </c>
      <c r="G37">
        <f t="shared" si="6"/>
        <v>4.7063201381181416</v>
      </c>
      <c r="H37">
        <f t="shared" si="7"/>
        <v>2.1694154642989245</v>
      </c>
    </row>
    <row r="38" spans="1:8" x14ac:dyDescent="0.2">
      <c r="A38">
        <f t="shared" si="11"/>
        <v>5.1000000000000014</v>
      </c>
      <c r="B38">
        <f t="shared" si="0"/>
        <v>2.0399999999999965</v>
      </c>
      <c r="C38">
        <f t="shared" si="10"/>
        <v>-2.6759213375873703</v>
      </c>
      <c r="D38">
        <f t="shared" si="2"/>
        <v>-1.8666666666666678</v>
      </c>
      <c r="E38">
        <f t="shared" si="4"/>
        <v>0.47222141251541871</v>
      </c>
      <c r="F38">
        <f t="shared" si="5"/>
        <v>-0.88147997002878209</v>
      </c>
      <c r="G38">
        <f t="shared" si="6"/>
        <v>4.8903314612928108</v>
      </c>
      <c r="H38">
        <f t="shared" si="7"/>
        <v>1.9276775685497158</v>
      </c>
    </row>
    <row r="39" spans="1:8" x14ac:dyDescent="0.2">
      <c r="A39">
        <f t="shared" si="11"/>
        <v>5.2500000000000018</v>
      </c>
      <c r="B39">
        <f t="shared" si="0"/>
        <v>1.7499999999999967</v>
      </c>
      <c r="C39">
        <f t="shared" si="10"/>
        <v>-2.2360679774997863</v>
      </c>
      <c r="D39">
        <f t="shared" si="2"/>
        <v>-2.0000000000000013</v>
      </c>
      <c r="E39">
        <f t="shared" si="4"/>
        <v>0.44721359549995776</v>
      </c>
      <c r="F39">
        <f t="shared" si="5"/>
        <v>-0.89442719099991608</v>
      </c>
      <c r="G39">
        <f t="shared" si="6"/>
        <v>5.0722222222222246</v>
      </c>
      <c r="H39">
        <f t="shared" si="7"/>
        <v>1.6611111111111079</v>
      </c>
    </row>
    <row r="40" spans="1:8" x14ac:dyDescent="0.2">
      <c r="A40">
        <f t="shared" si="11"/>
        <v>5.4000000000000021</v>
      </c>
      <c r="B40">
        <f t="shared" si="0"/>
        <v>1.4399999999999962</v>
      </c>
      <c r="C40">
        <f t="shared" si="10"/>
        <v>-1.8392134636664457</v>
      </c>
      <c r="D40">
        <f t="shared" si="2"/>
        <v>-2.1333333333333351</v>
      </c>
      <c r="E40">
        <f t="shared" si="4"/>
        <v>0.42443387623071926</v>
      </c>
      <c r="F40">
        <f t="shared" si="5"/>
        <v>-0.9054589359588685</v>
      </c>
      <c r="G40">
        <f t="shared" si="6"/>
        <v>5.2519704652611008</v>
      </c>
      <c r="H40">
        <f t="shared" si="7"/>
        <v>1.370611155591136</v>
      </c>
    </row>
    <row r="41" spans="1:8" x14ac:dyDescent="0.2">
      <c r="A41">
        <f t="shared" si="11"/>
        <v>5.5500000000000025</v>
      </c>
      <c r="B41">
        <f t="shared" si="0"/>
        <v>1.109999999999993</v>
      </c>
      <c r="C41">
        <f t="shared" si="10"/>
        <v>-1.4800140907797372</v>
      </c>
      <c r="D41">
        <f t="shared" si="2"/>
        <v>-2.2666666666666688</v>
      </c>
      <c r="E41">
        <f t="shared" si="4"/>
        <v>0.40364020657629324</v>
      </c>
      <c r="F41">
        <f t="shared" si="5"/>
        <v>-0.91491780157293223</v>
      </c>
      <c r="G41">
        <f t="shared" si="6"/>
        <v>5.4296363343792775</v>
      </c>
      <c r="H41">
        <f t="shared" si="7"/>
        <v>1.056898382814379</v>
      </c>
    </row>
    <row r="42" spans="1:8" x14ac:dyDescent="0.2">
      <c r="A42">
        <f t="shared" si="11"/>
        <v>5.7000000000000028</v>
      </c>
      <c r="B42">
        <f t="shared" si="0"/>
        <v>0.75999999999999401</v>
      </c>
      <c r="C42">
        <f t="shared" si="10"/>
        <v>-1.153846153846148</v>
      </c>
      <c r="D42">
        <f t="shared" si="2"/>
        <v>-2.4000000000000026</v>
      </c>
      <c r="E42">
        <f t="shared" si="4"/>
        <v>0.38461538461538425</v>
      </c>
      <c r="F42">
        <f t="shared" si="5"/>
        <v>-0.92307692307692324</v>
      </c>
      <c r="G42">
        <f t="shared" si="6"/>
        <v>5.6053254437869855</v>
      </c>
      <c r="H42">
        <f t="shared" si="7"/>
        <v>0.72055226824457019</v>
      </c>
    </row>
    <row r="43" spans="1:8" x14ac:dyDescent="0.2">
      <c r="A43">
        <f t="shared" si="11"/>
        <v>5.8500000000000032</v>
      </c>
      <c r="B43">
        <f t="shared" si="0"/>
        <v>0.38999999999999263</v>
      </c>
      <c r="C43">
        <f t="shared" si="10"/>
        <v>-0.85672191438410739</v>
      </c>
      <c r="D43">
        <f t="shared" si="2"/>
        <v>-2.5333333333333359</v>
      </c>
      <c r="E43">
        <f t="shared" si="4"/>
        <v>0.36716653473604816</v>
      </c>
      <c r="F43">
        <f t="shared" si="5"/>
        <v>-0.93015522133132289</v>
      </c>
      <c r="G43">
        <f t="shared" si="6"/>
        <v>5.7791658344983725</v>
      </c>
      <c r="H43">
        <f t="shared" si="7"/>
        <v>0.36203914519671743</v>
      </c>
    </row>
    <row r="44" spans="1:8" x14ac:dyDescent="0.2">
      <c r="A44">
        <f t="shared" si="11"/>
        <v>6.0000000000000036</v>
      </c>
      <c r="B44">
        <f t="shared" si="0"/>
        <v>-9.473903143468002E-15</v>
      </c>
      <c r="C44">
        <f t="shared" si="10"/>
        <v>-0.58520573598064729</v>
      </c>
      <c r="D44">
        <f t="shared" si="2"/>
        <v>-2.6666666666666696</v>
      </c>
      <c r="E44">
        <f t="shared" si="4"/>
        <v>0.35112344158839132</v>
      </c>
      <c r="F44">
        <f t="shared" si="5"/>
        <v>-0.93632917756904455</v>
      </c>
      <c r="G44">
        <f t="shared" si="6"/>
        <v>5.951293759512942</v>
      </c>
      <c r="H44">
        <f t="shared" si="7"/>
        <v>-1.8264840182657689E-2</v>
      </c>
    </row>
    <row r="46" spans="1:8" x14ac:dyDescent="0.2">
      <c r="A46">
        <f>MAX(A2:A44)</f>
        <v>6.0000000000000036</v>
      </c>
      <c r="B46">
        <f>MAX(B2:B44)</f>
        <v>3.9999999999999991</v>
      </c>
      <c r="C46">
        <f>MAX(MAX(C2:C44),-MIN(C2:C44))</f>
        <v>8.9999999999999982</v>
      </c>
      <c r="G46">
        <f>MAX(G2:G44,A46)</f>
        <v>6.0000000000000036</v>
      </c>
      <c r="H46">
        <f>MAX(H2:H44,B46)</f>
        <v>4.0576923076923084</v>
      </c>
    </row>
    <row r="47" spans="1:8" x14ac:dyDescent="0.2">
      <c r="A47">
        <f>MIN(A2:A44)</f>
        <v>0</v>
      </c>
      <c r="B47">
        <f>MIN(B2:B44)</f>
        <v>-9.473903143468002E-15</v>
      </c>
      <c r="C47">
        <f>0.2*MIN(dlu,f)/C46</f>
        <v>8.8888888888888906E-2</v>
      </c>
      <c r="G47">
        <f>MIN(G2:G44,A47)</f>
        <v>0</v>
      </c>
      <c r="H47">
        <f>MIN(H2:H44,B47)</f>
        <v>-1.8264840182657689E-2</v>
      </c>
    </row>
    <row r="48" spans="1:8" x14ac:dyDescent="0.2">
      <c r="G48">
        <v>1</v>
      </c>
      <c r="H48">
        <v>1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48"/>
  <sheetViews>
    <sheetView workbookViewId="0">
      <selection activeCell="O10" sqref="O10"/>
    </sheetView>
  </sheetViews>
  <sheetFormatPr defaultRowHeight="12.75" x14ac:dyDescent="0.2"/>
  <sheetData>
    <row r="1" spans="1:10" x14ac:dyDescent="0.2">
      <c r="A1" t="s">
        <v>11</v>
      </c>
      <c r="B1" t="s">
        <v>12</v>
      </c>
      <c r="C1" t="s">
        <v>9</v>
      </c>
      <c r="D1" t="s">
        <v>36</v>
      </c>
      <c r="E1" t="s">
        <v>37</v>
      </c>
      <c r="F1" t="s">
        <v>35</v>
      </c>
      <c r="G1" t="s">
        <v>27</v>
      </c>
      <c r="H1" t="s">
        <v>28</v>
      </c>
      <c r="I1" t="s">
        <v>33</v>
      </c>
    </row>
    <row r="2" spans="1:10" x14ac:dyDescent="0.2">
      <c r="A2">
        <v>0</v>
      </c>
      <c r="B2">
        <f t="shared" ref="B2:B44" si="0">-4*f/dlu^2*(A2^2-A2*dlu)</f>
        <v>0</v>
      </c>
      <c r="C2">
        <f t="shared" ref="C2:C22" si="1">(-Va+q_par*A2+q_par/dlu*2*A2^2/2)*F2-Ha*E2</f>
        <v>-42.720018726587654</v>
      </c>
      <c r="D2">
        <f t="shared" ref="D2:D44" si="2">-4*f/dlu^2*(2*A2-dlu)</f>
        <v>2.6666666666666665</v>
      </c>
      <c r="E2">
        <f>1/(1+D2^2)^0.5</f>
        <v>0.3511234415883917</v>
      </c>
      <c r="F2">
        <f>D2*E2</f>
        <v>0.93632917756904455</v>
      </c>
      <c r="G2">
        <f>A2-$C$47*C2*F2</f>
        <v>0.74906334205523584</v>
      </c>
      <c r="H2">
        <f>B2+$C$47*C2*E2</f>
        <v>-0.2808987532707134</v>
      </c>
      <c r="I2">
        <f>CEILING(G46+0.1*(G46-G47),0.1)</f>
        <v>6.6000000000000005</v>
      </c>
      <c r="J2">
        <f>CEILING(H46+0.1*(H46-H47),0.1)</f>
        <v>4.5</v>
      </c>
    </row>
    <row r="3" spans="1:10" x14ac:dyDescent="0.2">
      <c r="A3">
        <f t="shared" ref="A3:A22" si="3">A2+dlu*0.025</f>
        <v>0.15000000000000002</v>
      </c>
      <c r="B3">
        <f t="shared" si="0"/>
        <v>0.39000000000000007</v>
      </c>
      <c r="C3">
        <f t="shared" si="1"/>
        <v>-41.283593221496723</v>
      </c>
      <c r="D3">
        <f t="shared" si="2"/>
        <v>2.5333333333333332</v>
      </c>
      <c r="E3">
        <f t="shared" ref="E3:E44" si="4">1/(1+D3^2)^0.5</f>
        <v>0.36716653473604849</v>
      </c>
      <c r="F3">
        <f t="shared" ref="F3:F44" si="5">D3*E3</f>
        <v>0.93015522133132278</v>
      </c>
      <c r="G3">
        <f t="shared" ref="G3:G44" si="6">A3-$C$47*C3*F3</f>
        <v>0.86910361343347431</v>
      </c>
      <c r="H3">
        <f t="shared" ref="H3:H44" si="7">B3+$C$47*C3*E3</f>
        <v>0.10614331048678655</v>
      </c>
      <c r="I3">
        <f>CEILING(G47-0.1*(G46-G47),-1)</f>
        <v>-1</v>
      </c>
      <c r="J3">
        <f>CEILING(H47-0.1*(H46-H47),-1)</f>
        <v>-1</v>
      </c>
    </row>
    <row r="4" spans="1:10" x14ac:dyDescent="0.2">
      <c r="A4">
        <f t="shared" si="3"/>
        <v>0.30000000000000004</v>
      </c>
      <c r="B4">
        <f t="shared" si="0"/>
        <v>0.76</v>
      </c>
      <c r="C4">
        <f t="shared" si="1"/>
        <v>-39.784615384615378</v>
      </c>
      <c r="D4">
        <f t="shared" si="2"/>
        <v>2.4</v>
      </c>
      <c r="E4">
        <f t="shared" si="4"/>
        <v>0.38461538461538458</v>
      </c>
      <c r="F4">
        <f t="shared" si="5"/>
        <v>0.92307692307692291</v>
      </c>
      <c r="G4">
        <f t="shared" si="6"/>
        <v>0.98771992990112634</v>
      </c>
      <c r="H4">
        <f t="shared" si="7"/>
        <v>0.47345002920786405</v>
      </c>
      <c r="I4">
        <v>1</v>
      </c>
      <c r="J4">
        <v>1</v>
      </c>
    </row>
    <row r="5" spans="1:10" x14ac:dyDescent="0.2">
      <c r="A5">
        <f t="shared" si="3"/>
        <v>0.45000000000000007</v>
      </c>
      <c r="B5">
        <f t="shared" si="0"/>
        <v>1.1099999999999999</v>
      </c>
      <c r="C5">
        <f t="shared" si="1"/>
        <v>-38.225400296452626</v>
      </c>
      <c r="D5">
        <f t="shared" si="2"/>
        <v>2.2666666666666662</v>
      </c>
      <c r="E5">
        <f t="shared" si="4"/>
        <v>0.40364020657629363</v>
      </c>
      <c r="F5">
        <f t="shared" si="5"/>
        <v>0.91491780157293201</v>
      </c>
      <c r="G5">
        <f t="shared" si="6"/>
        <v>1.1049266642846209</v>
      </c>
      <c r="H5">
        <f t="shared" si="7"/>
        <v>0.82106176575678469</v>
      </c>
    </row>
    <row r="6" spans="1:10" x14ac:dyDescent="0.2">
      <c r="A6">
        <f t="shared" si="3"/>
        <v>0.60000000000000009</v>
      </c>
      <c r="B6">
        <f t="shared" si="0"/>
        <v>1.44</v>
      </c>
      <c r="C6">
        <f t="shared" si="1"/>
        <v>-36.608836604487003</v>
      </c>
      <c r="D6">
        <f t="shared" si="2"/>
        <v>2.1333333333333333</v>
      </c>
      <c r="E6">
        <f t="shared" si="4"/>
        <v>0.4244338762307196</v>
      </c>
      <c r="F6">
        <f t="shared" si="5"/>
        <v>0.9054589359588685</v>
      </c>
      <c r="G6">
        <f t="shared" si="6"/>
        <v>1.2207450132592887</v>
      </c>
      <c r="H6">
        <f t="shared" si="7"/>
        <v>1.1490257750347084</v>
      </c>
    </row>
    <row r="7" spans="1:10" x14ac:dyDescent="0.2">
      <c r="A7">
        <f t="shared" si="3"/>
        <v>0.75000000000000011</v>
      </c>
      <c r="B7">
        <f t="shared" si="0"/>
        <v>1.7500000000000002</v>
      </c>
      <c r="C7">
        <f t="shared" si="1"/>
        <v>-34.938562148434215</v>
      </c>
      <c r="D7">
        <f t="shared" si="2"/>
        <v>2</v>
      </c>
      <c r="E7">
        <f t="shared" si="4"/>
        <v>0.44721359549995793</v>
      </c>
      <c r="F7">
        <f t="shared" si="5"/>
        <v>0.89442719099991586</v>
      </c>
      <c r="G7">
        <f t="shared" si="6"/>
        <v>1.3352057359806531</v>
      </c>
      <c r="H7">
        <f t="shared" si="7"/>
        <v>1.4573971320096737</v>
      </c>
    </row>
    <row r="8" spans="1:10" x14ac:dyDescent="0.2">
      <c r="A8">
        <f t="shared" si="3"/>
        <v>0.90000000000000013</v>
      </c>
      <c r="B8">
        <f t="shared" si="0"/>
        <v>2.04</v>
      </c>
      <c r="C8">
        <f t="shared" si="1"/>
        <v>-33.219202299084671</v>
      </c>
      <c r="D8">
        <f t="shared" si="2"/>
        <v>1.8666666666666663</v>
      </c>
      <c r="E8">
        <f t="shared" si="4"/>
        <v>0.47222141251541905</v>
      </c>
      <c r="F8">
        <f t="shared" si="5"/>
        <v>0.88147997002878198</v>
      </c>
      <c r="G8">
        <f t="shared" si="6"/>
        <v>1.4483529702434881</v>
      </c>
      <c r="H8">
        <f t="shared" si="7"/>
        <v>1.7462394802267029</v>
      </c>
    </row>
    <row r="9" spans="1:10" x14ac:dyDescent="0.2">
      <c r="A9">
        <f t="shared" si="3"/>
        <v>1.0500000000000003</v>
      </c>
      <c r="B9">
        <f t="shared" si="0"/>
        <v>2.3100000000000005</v>
      </c>
      <c r="C9">
        <f t="shared" si="1"/>
        <v>-31.456695576413061</v>
      </c>
      <c r="D9">
        <f t="shared" si="2"/>
        <v>1.7333333333333329</v>
      </c>
      <c r="E9">
        <f t="shared" si="4"/>
        <v>0.49972245348957722</v>
      </c>
      <c r="F9">
        <f t="shared" si="5"/>
        <v>0.8661855860486003</v>
      </c>
      <c r="G9">
        <f t="shared" si="6"/>
        <v>1.560249519643583</v>
      </c>
      <c r="H9">
        <f t="shared" si="7"/>
        <v>2.0156252771287027</v>
      </c>
    </row>
    <row r="10" spans="1:10" x14ac:dyDescent="0.2">
      <c r="A10">
        <f t="shared" si="3"/>
        <v>1.2000000000000002</v>
      </c>
      <c r="B10">
        <f t="shared" si="0"/>
        <v>2.56</v>
      </c>
      <c r="C10">
        <f t="shared" si="1"/>
        <v>-29.65874068257795</v>
      </c>
      <c r="D10">
        <f t="shared" si="2"/>
        <v>1.5999999999999996</v>
      </c>
      <c r="E10">
        <f t="shared" si="4"/>
        <v>0.52999894000318004</v>
      </c>
      <c r="F10">
        <f t="shared" si="5"/>
        <v>0.84799830400508791</v>
      </c>
      <c r="G10">
        <f t="shared" si="6"/>
        <v>1.6709840968697864</v>
      </c>
      <c r="H10">
        <f t="shared" si="7"/>
        <v>2.2656349394563837</v>
      </c>
    </row>
    <row r="11" spans="1:10" x14ac:dyDescent="0.2">
      <c r="A11">
        <f t="shared" si="3"/>
        <v>1.35</v>
      </c>
      <c r="B11">
        <f t="shared" si="0"/>
        <v>2.7900000000000005</v>
      </c>
      <c r="C11">
        <f t="shared" si="1"/>
        <v>-27.83541140024473</v>
      </c>
      <c r="D11">
        <f t="shared" si="2"/>
        <v>1.4666666666666666</v>
      </c>
      <c r="E11">
        <f t="shared" si="4"/>
        <v>0.5633368246415098</v>
      </c>
      <c r="F11">
        <f t="shared" si="5"/>
        <v>0.82622734280754762</v>
      </c>
      <c r="G11">
        <f t="shared" si="6"/>
        <v>1.7806810471104149</v>
      </c>
      <c r="H11">
        <f t="shared" si="7"/>
        <v>2.4963538315156266</v>
      </c>
    </row>
    <row r="12" spans="1:10" x14ac:dyDescent="0.2">
      <c r="A12">
        <f t="shared" si="3"/>
        <v>1.5</v>
      </c>
      <c r="B12">
        <f t="shared" si="0"/>
        <v>3</v>
      </c>
      <c r="C12">
        <f t="shared" si="1"/>
        <v>-26</v>
      </c>
      <c r="D12">
        <f t="shared" si="2"/>
        <v>1.3333333333333333</v>
      </c>
      <c r="E12">
        <f t="shared" si="4"/>
        <v>0.6</v>
      </c>
      <c r="F12">
        <f t="shared" si="5"/>
        <v>0.79999999999999993</v>
      </c>
      <c r="G12">
        <f t="shared" si="6"/>
        <v>1.8895129378687225</v>
      </c>
      <c r="H12">
        <f t="shared" si="7"/>
        <v>2.7078652965984582</v>
      </c>
    </row>
    <row r="13" spans="1:10" x14ac:dyDescent="0.2">
      <c r="A13">
        <f t="shared" si="3"/>
        <v>1.65</v>
      </c>
      <c r="B13">
        <f t="shared" si="0"/>
        <v>3.1899999999999991</v>
      </c>
      <c r="C13">
        <f t="shared" si="1"/>
        <v>-24.170162009332437</v>
      </c>
      <c r="D13">
        <f t="shared" si="2"/>
        <v>1.2</v>
      </c>
      <c r="E13">
        <f t="shared" si="4"/>
        <v>0.64018439966447993</v>
      </c>
      <c r="F13">
        <f t="shared" si="5"/>
        <v>0.76822127959737585</v>
      </c>
      <c r="G13">
        <f t="shared" si="6"/>
        <v>1.9977158173683862</v>
      </c>
      <c r="H13">
        <f t="shared" si="7"/>
        <v>2.900236818859677</v>
      </c>
    </row>
    <row r="14" spans="1:10" x14ac:dyDescent="0.2">
      <c r="A14">
        <f t="shared" si="3"/>
        <v>1.7999999999999998</v>
      </c>
      <c r="B14">
        <f t="shared" si="0"/>
        <v>3.3599999999999994</v>
      </c>
      <c r="C14">
        <f t="shared" si="1"/>
        <v>-22.369434521945365</v>
      </c>
      <c r="D14">
        <f t="shared" si="2"/>
        <v>1.0666666666666669</v>
      </c>
      <c r="E14">
        <f t="shared" si="4"/>
        <v>0.68394112888132985</v>
      </c>
      <c r="F14">
        <f t="shared" si="5"/>
        <v>0.72953720414008527</v>
      </c>
      <c r="G14">
        <f t="shared" si="6"/>
        <v>2.1056053851245728</v>
      </c>
      <c r="H14">
        <f t="shared" si="7"/>
        <v>3.0734949514457126</v>
      </c>
    </row>
    <row r="15" spans="1:10" x14ac:dyDescent="0.2">
      <c r="A15">
        <f t="shared" si="3"/>
        <v>1.9499999999999997</v>
      </c>
      <c r="B15">
        <f t="shared" si="0"/>
        <v>3.5100000000000002</v>
      </c>
      <c r="C15">
        <f t="shared" si="1"/>
        <v>-20.629161244366696</v>
      </c>
      <c r="D15">
        <f t="shared" si="2"/>
        <v>0.93333333333333357</v>
      </c>
      <c r="E15">
        <f t="shared" si="4"/>
        <v>0.73105526824286893</v>
      </c>
      <c r="F15">
        <f t="shared" si="5"/>
        <v>0.68231825036001115</v>
      </c>
      <c r="G15">
        <f t="shared" si="6"/>
        <v>2.2135888958146088</v>
      </c>
      <c r="H15">
        <f t="shared" si="7"/>
        <v>3.227583325912919</v>
      </c>
    </row>
    <row r="16" spans="1:10" x14ac:dyDescent="0.2">
      <c r="A16">
        <f t="shared" si="3"/>
        <v>2.0999999999999996</v>
      </c>
      <c r="B16">
        <f t="shared" si="0"/>
        <v>3.6399999999999997</v>
      </c>
      <c r="C16">
        <f t="shared" si="1"/>
        <v>-18.990729445654498</v>
      </c>
      <c r="D16">
        <f t="shared" si="2"/>
        <v>0.80000000000000027</v>
      </c>
      <c r="E16">
        <f t="shared" si="4"/>
        <v>0.78086880944303017</v>
      </c>
      <c r="F16">
        <f t="shared" si="5"/>
        <v>0.62469504755442429</v>
      </c>
      <c r="G16">
        <f t="shared" si="6"/>
        <v>2.322161225351016</v>
      </c>
      <c r="H16">
        <f t="shared" si="7"/>
        <v>3.3622984683112294</v>
      </c>
    </row>
    <row r="17" spans="1:8" x14ac:dyDescent="0.2">
      <c r="A17">
        <f t="shared" si="3"/>
        <v>2.2499999999999996</v>
      </c>
      <c r="B17">
        <f t="shared" si="0"/>
        <v>3.7499999999999991</v>
      </c>
      <c r="C17">
        <f t="shared" si="1"/>
        <v>-17.507724943358795</v>
      </c>
      <c r="D17">
        <f t="shared" si="2"/>
        <v>0.66666666666666707</v>
      </c>
      <c r="E17">
        <f t="shared" si="4"/>
        <v>0.8320502943378435</v>
      </c>
      <c r="F17">
        <f t="shared" si="5"/>
        <v>0.55470019622522937</v>
      </c>
      <c r="G17">
        <f t="shared" si="6"/>
        <v>2.4318639364124488</v>
      </c>
      <c r="H17">
        <f t="shared" si="7"/>
        <v>3.4772040953813255</v>
      </c>
    </row>
    <row r="18" spans="1:8" x14ac:dyDescent="0.2">
      <c r="A18">
        <f t="shared" si="3"/>
        <v>2.3999999999999995</v>
      </c>
      <c r="B18">
        <f t="shared" si="0"/>
        <v>3.84</v>
      </c>
      <c r="C18">
        <f t="shared" si="1"/>
        <v>-16.247058823529414</v>
      </c>
      <c r="D18">
        <f t="shared" si="2"/>
        <v>0.53333333333333377</v>
      </c>
      <c r="E18">
        <f t="shared" si="4"/>
        <v>0.88235294117647045</v>
      </c>
      <c r="F18">
        <f t="shared" si="5"/>
        <v>0.47058823529411797</v>
      </c>
      <c r="G18">
        <f t="shared" si="6"/>
        <v>2.5431773668343638</v>
      </c>
      <c r="H18">
        <f t="shared" si="7"/>
        <v>3.5715424371855673</v>
      </c>
    </row>
    <row r="19" spans="1:8" x14ac:dyDescent="0.2">
      <c r="A19">
        <f t="shared" si="3"/>
        <v>2.5499999999999994</v>
      </c>
      <c r="B19">
        <f t="shared" si="0"/>
        <v>3.9099999999999997</v>
      </c>
      <c r="C19">
        <f t="shared" si="1"/>
        <v>-15.287368715425798</v>
      </c>
      <c r="D19">
        <f t="shared" si="2"/>
        <v>0.40000000000000052</v>
      </c>
      <c r="E19">
        <f t="shared" si="4"/>
        <v>0.92847669088525919</v>
      </c>
      <c r="F19">
        <f t="shared" si="5"/>
        <v>0.37139067635410417</v>
      </c>
      <c r="G19">
        <f t="shared" si="6"/>
        <v>2.6563217924736153</v>
      </c>
      <c r="H19">
        <f t="shared" si="7"/>
        <v>3.6441955188159598</v>
      </c>
    </row>
    <row r="20" spans="1:8" x14ac:dyDescent="0.2">
      <c r="A20">
        <f t="shared" si="3"/>
        <v>2.6999999999999993</v>
      </c>
      <c r="B20">
        <f t="shared" si="0"/>
        <v>3.96</v>
      </c>
      <c r="C20">
        <f t="shared" si="1"/>
        <v>-14.712537346994976</v>
      </c>
      <c r="D20">
        <f t="shared" si="2"/>
        <v>0.26666666666666727</v>
      </c>
      <c r="E20">
        <f t="shared" si="4"/>
        <v>0.96623493960124607</v>
      </c>
      <c r="F20">
        <f t="shared" si="5"/>
        <v>0.25766265056033288</v>
      </c>
      <c r="G20">
        <f t="shared" si="6"/>
        <v>2.7709900694296326</v>
      </c>
      <c r="H20">
        <f t="shared" si="7"/>
        <v>3.6937872396388758</v>
      </c>
    </row>
    <row r="21" spans="1:8" x14ac:dyDescent="0.2">
      <c r="A21">
        <f t="shared" si="3"/>
        <v>2.8499999999999992</v>
      </c>
      <c r="B21">
        <f t="shared" si="0"/>
        <v>3.9899999999999993</v>
      </c>
      <c r="C21">
        <f t="shared" si="1"/>
        <v>-14.599134930554071</v>
      </c>
      <c r="D21">
        <f t="shared" si="2"/>
        <v>0.13333333333333403</v>
      </c>
      <c r="E21">
        <f t="shared" si="4"/>
        <v>0.99122790068263456</v>
      </c>
      <c r="F21">
        <f t="shared" si="5"/>
        <v>0.13216372009101862</v>
      </c>
      <c r="G21">
        <f t="shared" si="6"/>
        <v>2.8861324931972816</v>
      </c>
      <c r="H21">
        <f t="shared" si="7"/>
        <v>3.7190063010203822</v>
      </c>
    </row>
    <row r="22" spans="1:8" x14ac:dyDescent="0.2">
      <c r="A22">
        <f t="shared" si="3"/>
        <v>2.9999999999999991</v>
      </c>
      <c r="B22">
        <f t="shared" si="0"/>
        <v>3.9999999999999991</v>
      </c>
      <c r="C22">
        <f t="shared" si="1"/>
        <v>-14.999999999999996</v>
      </c>
      <c r="D22">
        <f t="shared" si="2"/>
        <v>7.894919286223335E-16</v>
      </c>
      <c r="E22">
        <f t="shared" si="4"/>
        <v>1</v>
      </c>
      <c r="F22">
        <f t="shared" si="5"/>
        <v>7.894919286223335E-16</v>
      </c>
      <c r="G22">
        <f t="shared" si="6"/>
        <v>2.9999999999999991</v>
      </c>
      <c r="H22">
        <f t="shared" si="7"/>
        <v>3.7191012467292857</v>
      </c>
    </row>
    <row r="23" spans="1:8" x14ac:dyDescent="0.2">
      <c r="A23">
        <f>A22</f>
        <v>2.9999999999999991</v>
      </c>
      <c r="B23">
        <f t="shared" si="0"/>
        <v>3.9999999999999991</v>
      </c>
      <c r="C23">
        <f t="shared" ref="C23:C33" si="8">(-Va+1.5*q_par*dlu/2)*F23-Ha*E23</f>
        <v>-14.999999999999996</v>
      </c>
      <c r="D23">
        <f t="shared" si="2"/>
        <v>7.894919286223335E-16</v>
      </c>
      <c r="E23">
        <f t="shared" si="4"/>
        <v>1</v>
      </c>
      <c r="F23">
        <f t="shared" si="5"/>
        <v>7.894919286223335E-16</v>
      </c>
      <c r="G23">
        <f t="shared" si="6"/>
        <v>2.9999999999999991</v>
      </c>
      <c r="H23">
        <f t="shared" si="7"/>
        <v>3.7191012467292857</v>
      </c>
    </row>
    <row r="24" spans="1:8" x14ac:dyDescent="0.2">
      <c r="A24">
        <f>A22+dlu*0.025</f>
        <v>3.149999999999999</v>
      </c>
      <c r="B24">
        <f t="shared" si="0"/>
        <v>3.99</v>
      </c>
      <c r="C24">
        <f t="shared" si="8"/>
        <v>-15.529237110694607</v>
      </c>
      <c r="D24">
        <f t="shared" si="2"/>
        <v>-0.13333333333333247</v>
      </c>
      <c r="E24">
        <f t="shared" si="4"/>
        <v>0.99122790068263478</v>
      </c>
      <c r="F24">
        <f t="shared" si="5"/>
        <v>-0.13216372009101712</v>
      </c>
      <c r="G24">
        <f t="shared" si="6"/>
        <v>3.1115655272089553</v>
      </c>
      <c r="H24">
        <f t="shared" si="7"/>
        <v>3.701741454067172</v>
      </c>
    </row>
    <row r="25" spans="1:8" x14ac:dyDescent="0.2">
      <c r="A25">
        <f t="shared" ref="A25:A33" si="9">A24+dlu*0.025</f>
        <v>3.2999999999999989</v>
      </c>
      <c r="B25">
        <f t="shared" si="0"/>
        <v>3.96</v>
      </c>
      <c r="C25">
        <f t="shared" si="8"/>
        <v>-15.781837346820355</v>
      </c>
      <c r="D25">
        <f t="shared" si="2"/>
        <v>-0.26666666666666572</v>
      </c>
      <c r="E25">
        <f t="shared" si="4"/>
        <v>0.96623493960124651</v>
      </c>
      <c r="F25">
        <f t="shared" si="5"/>
        <v>-0.2576626505603315</v>
      </c>
      <c r="G25">
        <f t="shared" si="6"/>
        <v>3.2238504071354628</v>
      </c>
      <c r="H25">
        <f t="shared" si="7"/>
        <v>3.6744390267579883</v>
      </c>
    </row>
    <row r="26" spans="1:8" x14ac:dyDescent="0.2">
      <c r="A26">
        <f t="shared" si="9"/>
        <v>3.4499999999999988</v>
      </c>
      <c r="B26">
        <f t="shared" si="0"/>
        <v>3.9099999999999997</v>
      </c>
      <c r="C26">
        <f t="shared" si="8"/>
        <v>-15.784103745049407</v>
      </c>
      <c r="D26">
        <f t="shared" si="2"/>
        <v>-0.39999999999999897</v>
      </c>
      <c r="E26">
        <f t="shared" si="4"/>
        <v>0.92847669088525953</v>
      </c>
      <c r="F26">
        <f t="shared" si="5"/>
        <v>-0.37139067635410283</v>
      </c>
      <c r="G26">
        <f t="shared" si="6"/>
        <v>3.3402234757332834</v>
      </c>
      <c r="H26">
        <f t="shared" si="7"/>
        <v>3.6355586893332106</v>
      </c>
    </row>
    <row r="27" spans="1:8" x14ac:dyDescent="0.2">
      <c r="A27">
        <f t="shared" si="9"/>
        <v>3.5999999999999988</v>
      </c>
      <c r="B27">
        <f t="shared" si="0"/>
        <v>3.8400000000000016</v>
      </c>
      <c r="C27">
        <f t="shared" si="8"/>
        <v>-15.588235294117649</v>
      </c>
      <c r="D27">
        <f t="shared" si="2"/>
        <v>-0.53333333333333222</v>
      </c>
      <c r="E27">
        <f t="shared" si="4"/>
        <v>0.88235294117647101</v>
      </c>
      <c r="F27">
        <f t="shared" si="5"/>
        <v>-0.47058823529411686</v>
      </c>
      <c r="G27">
        <f t="shared" si="6"/>
        <v>3.4626285220452324</v>
      </c>
      <c r="H27">
        <f t="shared" si="7"/>
        <v>3.5824284788348146</v>
      </c>
    </row>
    <row r="28" spans="1:8" x14ac:dyDescent="0.2">
      <c r="A28">
        <f t="shared" si="9"/>
        <v>3.7499999999999987</v>
      </c>
      <c r="B28">
        <f t="shared" si="0"/>
        <v>3.7500000000000013</v>
      </c>
      <c r="C28">
        <f t="shared" si="8"/>
        <v>-15.254255396193805</v>
      </c>
      <c r="D28">
        <f t="shared" si="2"/>
        <v>-0.66666666666666541</v>
      </c>
      <c r="E28">
        <f t="shared" si="4"/>
        <v>0.83205029433784417</v>
      </c>
      <c r="F28">
        <f t="shared" si="5"/>
        <v>-0.55470019622522837</v>
      </c>
      <c r="G28">
        <f t="shared" si="6"/>
        <v>3.591544293026776</v>
      </c>
      <c r="H28">
        <f t="shared" si="7"/>
        <v>3.5123164395401667</v>
      </c>
    </row>
    <row r="29" spans="1:8" x14ac:dyDescent="0.2">
      <c r="A29">
        <f t="shared" si="9"/>
        <v>3.8999999999999986</v>
      </c>
      <c r="B29">
        <f t="shared" si="0"/>
        <v>3.640000000000001</v>
      </c>
      <c r="C29">
        <f t="shared" si="8"/>
        <v>-14.836507379417579</v>
      </c>
      <c r="D29">
        <f t="shared" si="2"/>
        <v>-0.79999999999999871</v>
      </c>
      <c r="E29">
        <f t="shared" si="4"/>
        <v>0.78086880944303083</v>
      </c>
      <c r="F29">
        <f t="shared" si="5"/>
        <v>-0.62469504755442362</v>
      </c>
      <c r="G29">
        <f t="shared" si="6"/>
        <v>3.7264365426945174</v>
      </c>
      <c r="H29">
        <f t="shared" si="7"/>
        <v>3.4230456783681489</v>
      </c>
    </row>
    <row r="30" spans="1:8" x14ac:dyDescent="0.2">
      <c r="A30">
        <f t="shared" si="9"/>
        <v>4.0499999999999989</v>
      </c>
      <c r="B30">
        <f t="shared" si="0"/>
        <v>3.5100000000000002</v>
      </c>
      <c r="C30">
        <f t="shared" si="8"/>
        <v>-14.377420275443097</v>
      </c>
      <c r="D30">
        <f t="shared" si="2"/>
        <v>-0.93333333333333235</v>
      </c>
      <c r="E30">
        <f t="shared" si="4"/>
        <v>0.73105526824286948</v>
      </c>
      <c r="F30">
        <f t="shared" si="5"/>
        <v>-0.68231825036001081</v>
      </c>
      <c r="G30">
        <f t="shared" si="6"/>
        <v>3.8662926601729133</v>
      </c>
      <c r="H30">
        <f t="shared" si="7"/>
        <v>3.3131707073281222</v>
      </c>
    </row>
    <row r="31" spans="1:8" x14ac:dyDescent="0.2">
      <c r="A31">
        <f t="shared" si="9"/>
        <v>4.1999999999999993</v>
      </c>
      <c r="B31">
        <f t="shared" si="0"/>
        <v>3.3600000000000008</v>
      </c>
      <c r="C31">
        <f t="shared" si="8"/>
        <v>-13.906802953920375</v>
      </c>
      <c r="D31">
        <f t="shared" si="2"/>
        <v>-1.066666666666666</v>
      </c>
      <c r="E31">
        <f t="shared" si="4"/>
        <v>0.68394112888132996</v>
      </c>
      <c r="F31">
        <f t="shared" si="5"/>
        <v>-0.72953720414008483</v>
      </c>
      <c r="G31">
        <f t="shared" si="6"/>
        <v>4.0100088820566757</v>
      </c>
      <c r="H31">
        <f t="shared" si="7"/>
        <v>3.1818833269281348</v>
      </c>
    </row>
    <row r="32" spans="1:8" x14ac:dyDescent="0.2">
      <c r="A32">
        <f t="shared" si="9"/>
        <v>4.3499999999999996</v>
      </c>
      <c r="B32">
        <f t="shared" si="0"/>
        <v>3.1900000000000008</v>
      </c>
      <c r="C32">
        <f t="shared" si="8"/>
        <v>-13.443872392954079</v>
      </c>
      <c r="D32">
        <f t="shared" si="2"/>
        <v>-1.1999999999999995</v>
      </c>
      <c r="E32">
        <f t="shared" si="4"/>
        <v>0.64018439966448004</v>
      </c>
      <c r="F32">
        <f t="shared" si="5"/>
        <v>-0.76822127959737574</v>
      </c>
      <c r="G32">
        <f t="shared" si="6"/>
        <v>4.1565943010267219</v>
      </c>
      <c r="H32">
        <f t="shared" si="7"/>
        <v>3.0288285841889357</v>
      </c>
    </row>
    <row r="33" spans="1:8" x14ac:dyDescent="0.2">
      <c r="A33">
        <f t="shared" si="9"/>
        <v>4.5</v>
      </c>
      <c r="B33">
        <f t="shared" si="0"/>
        <v>3</v>
      </c>
      <c r="C33">
        <f t="shared" si="8"/>
        <v>-13</v>
      </c>
      <c r="D33">
        <f t="shared" si="2"/>
        <v>-1.3333333333333333</v>
      </c>
      <c r="E33">
        <f t="shared" si="4"/>
        <v>0.6</v>
      </c>
      <c r="F33">
        <f t="shared" si="5"/>
        <v>-0.79999999999999993</v>
      </c>
      <c r="G33">
        <f t="shared" si="6"/>
        <v>4.3052435310656385</v>
      </c>
      <c r="H33">
        <f t="shared" si="7"/>
        <v>2.8539326482992289</v>
      </c>
    </row>
    <row r="34" spans="1:8" x14ac:dyDescent="0.2">
      <c r="A34">
        <f>A33</f>
        <v>4.5</v>
      </c>
      <c r="B34">
        <f t="shared" si="0"/>
        <v>3</v>
      </c>
      <c r="C34">
        <f t="shared" ref="C34:C44" si="10">(-Va+1.5*q_par*dlu/2+P_par)*F34-(Ha-P_par)*E34</f>
        <v>-14.999999999999998</v>
      </c>
      <c r="D34">
        <f t="shared" si="2"/>
        <v>-1.3333333333333333</v>
      </c>
      <c r="E34">
        <f t="shared" si="4"/>
        <v>0.6</v>
      </c>
      <c r="F34">
        <f t="shared" si="5"/>
        <v>-0.79999999999999993</v>
      </c>
      <c r="G34">
        <f t="shared" si="6"/>
        <v>4.2752809973834296</v>
      </c>
      <c r="H34">
        <f t="shared" si="7"/>
        <v>2.8314607480375722</v>
      </c>
    </row>
    <row r="35" spans="1:8" x14ac:dyDescent="0.2">
      <c r="A35">
        <f>A33+dlu*0.025</f>
        <v>4.6500000000000004</v>
      </c>
      <c r="B35">
        <f t="shared" si="0"/>
        <v>2.7899999999999996</v>
      </c>
      <c r="C35">
        <f t="shared" si="10"/>
        <v>-15.210094265320766</v>
      </c>
      <c r="D35">
        <f t="shared" si="2"/>
        <v>-1.466666666666667</v>
      </c>
      <c r="E35">
        <f t="shared" si="4"/>
        <v>0.56333682464150969</v>
      </c>
      <c r="F35">
        <f t="shared" si="5"/>
        <v>-0.82622734280754773</v>
      </c>
      <c r="G35">
        <f t="shared" si="6"/>
        <v>4.4146631037478086</v>
      </c>
      <c r="H35">
        <f t="shared" si="7"/>
        <v>2.6295430252825964</v>
      </c>
    </row>
    <row r="36" spans="1:8" x14ac:dyDescent="0.2">
      <c r="A36">
        <f t="shared" ref="A36:A44" si="11">A35+dlu*0.025</f>
        <v>4.8000000000000007</v>
      </c>
      <c r="B36">
        <f t="shared" si="0"/>
        <v>2.5599999999999992</v>
      </c>
      <c r="C36">
        <f t="shared" si="10"/>
        <v>-15.369969260092223</v>
      </c>
      <c r="D36">
        <f t="shared" si="2"/>
        <v>-1.6000000000000005</v>
      </c>
      <c r="E36">
        <f t="shared" si="4"/>
        <v>0.52999894000317993</v>
      </c>
      <c r="F36">
        <f t="shared" si="5"/>
        <v>-0.84799830400508813</v>
      </c>
      <c r="G36">
        <f t="shared" si="6"/>
        <v>4.555923180678632</v>
      </c>
      <c r="H36">
        <f t="shared" si="7"/>
        <v>2.4074519879241434</v>
      </c>
    </row>
    <row r="37" spans="1:8" x14ac:dyDescent="0.2">
      <c r="A37">
        <f t="shared" si="11"/>
        <v>4.9500000000000011</v>
      </c>
      <c r="B37">
        <f t="shared" si="0"/>
        <v>2.3099999999999974</v>
      </c>
      <c r="C37">
        <f t="shared" si="10"/>
        <v>-15.491396058176893</v>
      </c>
      <c r="D37">
        <f t="shared" si="2"/>
        <v>-1.7333333333333343</v>
      </c>
      <c r="E37">
        <f t="shared" si="4"/>
        <v>0.499722453489577</v>
      </c>
      <c r="F37">
        <f t="shared" si="5"/>
        <v>-0.86618558604860063</v>
      </c>
      <c r="G37">
        <f t="shared" si="6"/>
        <v>4.698718762334968</v>
      </c>
      <c r="H37">
        <f t="shared" si="7"/>
        <v>2.1650300551932475</v>
      </c>
    </row>
    <row r="38" spans="1:8" x14ac:dyDescent="0.2">
      <c r="A38">
        <f t="shared" si="11"/>
        <v>5.1000000000000014</v>
      </c>
      <c r="B38">
        <f t="shared" si="0"/>
        <v>2.0399999999999965</v>
      </c>
      <c r="C38">
        <f t="shared" si="10"/>
        <v>-15.583306613008826</v>
      </c>
      <c r="D38">
        <f t="shared" si="2"/>
        <v>-1.8666666666666678</v>
      </c>
      <c r="E38">
        <f t="shared" si="4"/>
        <v>0.47222141251541871</v>
      </c>
      <c r="F38">
        <f t="shared" si="5"/>
        <v>-0.88147997002878209</v>
      </c>
      <c r="G38">
        <f t="shared" si="6"/>
        <v>4.8427646699483269</v>
      </c>
      <c r="H38">
        <f t="shared" si="7"/>
        <v>1.9021953589008853</v>
      </c>
    </row>
    <row r="39" spans="1:8" x14ac:dyDescent="0.2">
      <c r="A39">
        <f t="shared" si="11"/>
        <v>5.2500000000000018</v>
      </c>
      <c r="B39">
        <f t="shared" si="0"/>
        <v>1.7499999999999967</v>
      </c>
      <c r="C39">
        <f t="shared" si="10"/>
        <v>-15.652475842498529</v>
      </c>
      <c r="D39">
        <f t="shared" si="2"/>
        <v>-2.0000000000000013</v>
      </c>
      <c r="E39">
        <f t="shared" si="4"/>
        <v>0.44721359549995776</v>
      </c>
      <c r="F39">
        <f t="shared" si="5"/>
        <v>-0.89442719099991608</v>
      </c>
      <c r="G39">
        <f t="shared" si="6"/>
        <v>4.9878278302806693</v>
      </c>
      <c r="H39">
        <f t="shared" si="7"/>
        <v>1.6189139151403305</v>
      </c>
    </row>
    <row r="40" spans="1:8" x14ac:dyDescent="0.2">
      <c r="A40">
        <f t="shared" si="11"/>
        <v>5.4000000000000021</v>
      </c>
      <c r="B40">
        <f t="shared" si="0"/>
        <v>1.4399999999999962</v>
      </c>
      <c r="C40">
        <f t="shared" si="10"/>
        <v>-15.704053420536624</v>
      </c>
      <c r="D40">
        <f t="shared" si="2"/>
        <v>-2.1333333333333351</v>
      </c>
      <c r="E40">
        <f t="shared" si="4"/>
        <v>0.42443387623071926</v>
      </c>
      <c r="F40">
        <f t="shared" si="5"/>
        <v>-0.9054589359588685</v>
      </c>
      <c r="G40">
        <f t="shared" si="6"/>
        <v>5.1337196766432971</v>
      </c>
      <c r="H40">
        <f t="shared" si="7"/>
        <v>1.3151810984265406</v>
      </c>
    </row>
    <row r="41" spans="1:8" x14ac:dyDescent="0.2">
      <c r="A41">
        <f t="shared" si="11"/>
        <v>5.5500000000000025</v>
      </c>
      <c r="B41">
        <f t="shared" si="0"/>
        <v>1.109999999999993</v>
      </c>
      <c r="C41">
        <f t="shared" si="10"/>
        <v>-15.74196805647545</v>
      </c>
      <c r="D41">
        <f t="shared" si="2"/>
        <v>-2.2666666666666688</v>
      </c>
      <c r="E41">
        <f t="shared" si="4"/>
        <v>0.40364020657629324</v>
      </c>
      <c r="F41">
        <f t="shared" si="5"/>
        <v>-0.91491780157293223</v>
      </c>
      <c r="G41">
        <f t="shared" si="6"/>
        <v>5.2802883802773621</v>
      </c>
      <c r="H41">
        <f t="shared" si="7"/>
        <v>0.9910095795341225</v>
      </c>
    </row>
    <row r="42" spans="1:8" x14ac:dyDescent="0.2">
      <c r="A42">
        <f t="shared" si="11"/>
        <v>5.7000000000000028</v>
      </c>
      <c r="B42">
        <f t="shared" si="0"/>
        <v>0.75999999999999401</v>
      </c>
      <c r="C42">
        <f t="shared" si="10"/>
        <v>-15.76923076923077</v>
      </c>
      <c r="D42">
        <f t="shared" si="2"/>
        <v>-2.4000000000000026</v>
      </c>
      <c r="E42">
        <f t="shared" si="4"/>
        <v>0.38461538461538425</v>
      </c>
      <c r="F42">
        <f t="shared" si="5"/>
        <v>-0.92307692307692324</v>
      </c>
      <c r="G42">
        <f t="shared" si="6"/>
        <v>5.4274118607313815</v>
      </c>
      <c r="H42">
        <f t="shared" si="7"/>
        <v>0.64642160863806852</v>
      </c>
    </row>
    <row r="43" spans="1:8" x14ac:dyDescent="0.2">
      <c r="A43">
        <f t="shared" si="11"/>
        <v>5.8500000000000032</v>
      </c>
      <c r="B43">
        <f t="shared" si="0"/>
        <v>0.38999999999999263</v>
      </c>
      <c r="C43">
        <f t="shared" si="10"/>
        <v>-15.788160993650084</v>
      </c>
      <c r="D43">
        <f t="shared" si="2"/>
        <v>-2.5333333333333359</v>
      </c>
      <c r="E43">
        <f t="shared" si="4"/>
        <v>0.36716653473604816</v>
      </c>
      <c r="F43">
        <f t="shared" si="5"/>
        <v>-0.93015522133132289</v>
      </c>
      <c r="G43">
        <f t="shared" si="6"/>
        <v>5.5749918736702577</v>
      </c>
      <c r="H43">
        <f t="shared" si="7"/>
        <v>0.28144416065930361</v>
      </c>
    </row>
    <row r="44" spans="1:8" x14ac:dyDescent="0.2">
      <c r="A44">
        <f t="shared" si="11"/>
        <v>6.0000000000000036</v>
      </c>
      <c r="B44">
        <f t="shared" si="0"/>
        <v>-9.473903143468002E-15</v>
      </c>
      <c r="C44">
        <f t="shared" si="10"/>
        <v>-15.800554871477624</v>
      </c>
      <c r="D44">
        <f t="shared" si="2"/>
        <v>-2.6666666666666696</v>
      </c>
      <c r="E44">
        <f t="shared" si="4"/>
        <v>0.35112344158839132</v>
      </c>
      <c r="F44">
        <f t="shared" si="5"/>
        <v>-0.93632917756904455</v>
      </c>
      <c r="G44">
        <f t="shared" si="6"/>
        <v>5.7229491748562866</v>
      </c>
      <c r="H44">
        <f t="shared" si="7"/>
        <v>-0.10389405942890335</v>
      </c>
    </row>
    <row r="46" spans="1:8" x14ac:dyDescent="0.2">
      <c r="A46">
        <f>MAX(A2:A44)</f>
        <v>6.0000000000000036</v>
      </c>
      <c r="B46">
        <f>MAX(B2:B44)</f>
        <v>3.9999999999999991</v>
      </c>
      <c r="C46">
        <f>MAX(MAX(C2:C44),-MIN(C2:C44))</f>
        <v>42.720018726587654</v>
      </c>
      <c r="G46">
        <f>MAX(G2:G44,A46)</f>
        <v>6.0000000000000036</v>
      </c>
      <c r="H46">
        <f>MAX(H2:H44,B46)</f>
        <v>3.9999999999999991</v>
      </c>
    </row>
    <row r="47" spans="1:8" x14ac:dyDescent="0.2">
      <c r="A47">
        <f>MIN(A2:A44)</f>
        <v>0</v>
      </c>
      <c r="B47">
        <f>MIN(B2:B44)</f>
        <v>-9.473903143468002E-15</v>
      </c>
      <c r="C47">
        <f>0.2*MIN(dlu,f)/C46</f>
        <v>1.8726583551380894E-2</v>
      </c>
      <c r="G47">
        <f>MIN(G2:G44,A47)</f>
        <v>0</v>
      </c>
      <c r="H47">
        <f>MIN(H2:H44,B47)</f>
        <v>-0.2808987532707134</v>
      </c>
    </row>
    <row r="48" spans="1:8" x14ac:dyDescent="0.2">
      <c r="G48">
        <v>1</v>
      </c>
      <c r="H48">
        <v>1</v>
      </c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circular arch</vt:lpstr>
      <vt:lpstr>M_c</vt:lpstr>
      <vt:lpstr>Q_c</vt:lpstr>
      <vt:lpstr>N_c</vt:lpstr>
      <vt:lpstr>parabolic arch</vt:lpstr>
      <vt:lpstr>M_p</vt:lpstr>
      <vt:lpstr>Q_p</vt:lpstr>
      <vt:lpstr>N_p</vt:lpstr>
      <vt:lpstr>_R</vt:lpstr>
      <vt:lpstr>dlu</vt:lpstr>
      <vt:lpstr>f</vt:lpstr>
      <vt:lpstr>Ha</vt:lpstr>
      <vt:lpstr>Hb</vt:lpstr>
      <vt:lpstr>Hbp</vt:lpstr>
      <vt:lpstr>P</vt:lpstr>
      <vt:lpstr>P_par</vt:lpstr>
      <vt:lpstr>q</vt:lpstr>
      <vt:lpstr>q_par</vt:lpstr>
      <vt:lpstr>Ra</vt:lpstr>
      <vt:lpstr>Va</vt:lpstr>
      <vt:lpstr>Vb</vt:lpstr>
      <vt:lpstr>Vbp</vt:lpstr>
      <vt:lpstr>x_P</vt:lpstr>
      <vt:lpstr>y_P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2007-11-16T10:55:59Z</dcterms:created>
  <dcterms:modified xsi:type="dcterms:W3CDTF">2013-10-02T20:45:58Z</dcterms:modified>
</cp:coreProperties>
</file>